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3560" yWindow="-15" windowWidth="13605" windowHeight="12225" tabRatio="919"/>
  </bookViews>
  <sheets>
    <sheet name="Inhaltsverzeichnis" sheetId="5" r:id="rId1"/>
    <sheet name="Gesamt" sheetId="4" r:id="rId2"/>
    <sheet name="3.1" sheetId="15" r:id="rId3"/>
    <sheet name="4.1.x" sheetId="17" r:id="rId4"/>
    <sheet name="4.1.3" sheetId="18" r:id="rId5"/>
    <sheet name="4.2" sheetId="19" r:id="rId6"/>
    <sheet name="4.3" sheetId="20" r:id="rId7"/>
    <sheet name="4.4.2" sheetId="21" r:id="rId8"/>
    <sheet name="4.4.x" sheetId="23" r:id="rId9"/>
    <sheet name="4.5" sheetId="40" r:id="rId10"/>
    <sheet name="4.6" sheetId="22" r:id="rId11"/>
    <sheet name="4.7.1" sheetId="7" r:id="rId12"/>
    <sheet name="4.7.2" sheetId="6" r:id="rId13"/>
    <sheet name="4.7.3" sheetId="8" r:id="rId14"/>
    <sheet name="4.7.4" sheetId="9" r:id="rId15"/>
    <sheet name="4.8" sheetId="10" r:id="rId16"/>
    <sheet name="4.9" sheetId="11" r:id="rId17"/>
    <sheet name="4.10" sheetId="24" r:id="rId18"/>
    <sheet name="4.11" sheetId="12" r:id="rId19"/>
    <sheet name="4.12" sheetId="13" r:id="rId20"/>
    <sheet name="4.13" sheetId="25" r:id="rId21"/>
    <sheet name="4.14" sheetId="41" r:id="rId22"/>
    <sheet name="4.15" sheetId="14" r:id="rId23"/>
    <sheet name="5.1" sheetId="42" r:id="rId24"/>
    <sheet name="6.1" sheetId="33" r:id="rId25"/>
    <sheet name="6.2" sheetId="26" r:id="rId26"/>
    <sheet name="6.3" sheetId="34" r:id="rId27"/>
    <sheet name="DUMMY" sheetId="28" r:id="rId28"/>
    <sheet name="Konstante" sheetId="3" r:id="rId29"/>
  </sheets>
  <definedNames>
    <definedName name="_Ref295723403" localSheetId="24">'6.1'!$K$15</definedName>
    <definedName name="_s1" localSheetId="17">'4.10'!$L$13</definedName>
    <definedName name="_s2" localSheetId="17">'4.10'!$L$14</definedName>
    <definedName name="_s3" localSheetId="17">'4.10'!$L$15</definedName>
    <definedName name="_Toc315531100" localSheetId="28">Konstante!#REF!</definedName>
    <definedName name="A" comment="Faktor A" localSheetId="3">'4.1.x'!$S$17</definedName>
    <definedName name="Abminderungsfaktor" localSheetId="17">'4.10'!$H$6</definedName>
    <definedName name="AnzahlPasspunkte" localSheetId="20">'4.13'!$H$9</definedName>
    <definedName name="Art" localSheetId="4">'4.1.3'!$F$4</definedName>
    <definedName name="D" localSheetId="8">'4.4.x'!$D$13</definedName>
    <definedName name="_xlnm.Print_Area" localSheetId="2">'3.1'!$B$29:$I$79</definedName>
    <definedName name="_xlnm.Print_Area" localSheetId="4">'4.1.3'!$B$21:$I$69</definedName>
    <definedName name="_xlnm.Print_Area" localSheetId="3">'4.1.x'!$B$21:$I$69</definedName>
    <definedName name="_xlnm.Print_Area" localSheetId="17">'4.10'!$B$21:$I$69</definedName>
    <definedName name="_xlnm.Print_Area" localSheetId="18">'4.11'!$B$21:$I$71</definedName>
    <definedName name="_xlnm.Print_Area" localSheetId="19">'4.12'!$B$21:$I$69</definedName>
    <definedName name="_xlnm.Print_Area" localSheetId="20">'4.13'!$B$51:$I$110</definedName>
    <definedName name="_xlnm.Print_Area" localSheetId="21">'4.14'!$B$49:$I$90</definedName>
    <definedName name="_xlnm.Print_Area" localSheetId="22">'4.15'!$B$21:$I$70</definedName>
    <definedName name="_xlnm.Print_Area" localSheetId="5">'4.2'!$B$21:$I$69</definedName>
    <definedName name="_xlnm.Print_Area" localSheetId="6">'4.3'!$B$21:$I$69</definedName>
    <definedName name="_xlnm.Print_Area" localSheetId="7">'4.4.2'!$B$21:$I$69</definedName>
    <definedName name="_xlnm.Print_Area" localSheetId="8">'4.4.x'!$B$21:$I$69</definedName>
    <definedName name="_xlnm.Print_Area" localSheetId="9">'4.5'!$B$49:$I$90</definedName>
    <definedName name="_xlnm.Print_Area" localSheetId="10">'4.6'!$B$21:$I$69</definedName>
    <definedName name="_xlnm.Print_Area" localSheetId="11">'4.7.1'!$B$21:$I$75</definedName>
    <definedName name="_xlnm.Print_Area" localSheetId="12">'4.7.2'!$B$21:$I$70</definedName>
    <definedName name="_xlnm.Print_Area" localSheetId="13">'4.7.3'!$B$21:$I$70</definedName>
    <definedName name="_xlnm.Print_Area" localSheetId="14">'4.7.4'!$B$21:$I$70</definedName>
    <definedName name="_xlnm.Print_Area" localSheetId="15">'4.8'!$B$21:$I$70</definedName>
    <definedName name="_xlnm.Print_Area" localSheetId="16">'4.9'!$B$21:$I$70</definedName>
    <definedName name="_xlnm.Print_Area" localSheetId="23">'5.1'!$B$49:$I$90</definedName>
    <definedName name="_xlnm.Print_Area" localSheetId="24">'6.1'!$B$56:$I$97</definedName>
    <definedName name="_xlnm.Print_Area" localSheetId="25">'6.2'!$B$49:$I$90</definedName>
    <definedName name="_xlnm.Print_Area" localSheetId="26">'6.3'!$B$28:$I$67</definedName>
    <definedName name="_xlnm.Print_Area" localSheetId="27">DUMMY!$B$50:$I$91</definedName>
    <definedName name="_xlnm.Print_Area" localSheetId="1">Gesamt!$B$21:$I$72</definedName>
    <definedName name="E" comment="Geländeklasse und Schwierigkeitsstufe" localSheetId="2">'3.1'!$L$8</definedName>
    <definedName name="E" localSheetId="3">'4.1.x'!$H$10</definedName>
    <definedName name="Ed" localSheetId="8">'4.4.x'!$D$10</definedName>
    <definedName name="Es" localSheetId="8">'4.4.x'!$D$9</definedName>
    <definedName name="F" comment="Durchschnittliche Größe der zur Gänze betroffenen Grundstücke" localSheetId="2">'3.1'!$L$18</definedName>
    <definedName name="f" localSheetId="4">'4.1.3'!$H$14</definedName>
    <definedName name="f" localSheetId="5">'4.2'!$H$9</definedName>
    <definedName name="f" localSheetId="7">'4.4.2'!$D$10</definedName>
    <definedName name="f" localSheetId="8">'4.4.x'!$D$11</definedName>
    <definedName name="f" localSheetId="10">'4.6'!$D$12</definedName>
    <definedName name="F1_" localSheetId="17">'4.10'!$N$13</definedName>
    <definedName name="F2_" localSheetId="17">'4.10'!$N$14</definedName>
    <definedName name="F3_" localSheetId="17">'4.10'!$N$15</definedName>
    <definedName name="F4_" localSheetId="17">'4.10'!$N$16</definedName>
    <definedName name="F5_" localSheetId="17">'4.10'!$N$17</definedName>
    <definedName name="F6_" localSheetId="17">'4.10'!$N$18</definedName>
    <definedName name="G" localSheetId="3">'4.1.x'!$D$9</definedName>
    <definedName name="G" localSheetId="5">'4.2'!$H$11</definedName>
    <definedName name="G" localSheetId="7">'4.4.2'!$D$12</definedName>
    <definedName name="G" localSheetId="8">'4.4.x'!$D$12</definedName>
    <definedName name="G" localSheetId="10">'4.6'!$D$6</definedName>
    <definedName name="h" localSheetId="3">'4.1.x'!$H$13</definedName>
    <definedName name="Ha" localSheetId="17">'4.10'!$L$8</definedName>
    <definedName name="Hb" localSheetId="17">'4.10'!$L$9</definedName>
    <definedName name="Hc" localSheetId="17">'4.10'!$L$10</definedName>
    <definedName name="IS" comment="Ingenieurstunde" localSheetId="2">'3.1'!$F$40</definedName>
    <definedName name="IS" localSheetId="4">'4.1.3'!$E$35</definedName>
    <definedName name="IS" localSheetId="17">'4.10'!$E$31</definedName>
    <definedName name="IS" localSheetId="20">'4.13'!$G$59</definedName>
    <definedName name="IS" localSheetId="21">'4.14'!$E$59</definedName>
    <definedName name="IS" localSheetId="5">'4.2'!$E$31</definedName>
    <definedName name="IS" localSheetId="6">'4.3'!$E$31</definedName>
    <definedName name="IS" localSheetId="7">'4.4.2'!$E$31</definedName>
    <definedName name="IS" localSheetId="8">'4.4.x'!$E$31</definedName>
    <definedName name="IS" localSheetId="9">'4.5'!$E$59</definedName>
    <definedName name="IS" localSheetId="10">'4.6'!$E$31</definedName>
    <definedName name="IS" localSheetId="23">'5.1'!$E$59</definedName>
    <definedName name="IS" localSheetId="24">'6.1'!$E$66</definedName>
    <definedName name="IS" localSheetId="25">'6.2'!$E$59</definedName>
    <definedName name="IS" localSheetId="26">'6.3'!$E$38</definedName>
    <definedName name="IS" localSheetId="27">DUMMY!$E$60</definedName>
    <definedName name="K" comment="Kataster-Kategorie (Qualität der Grenzen)" localSheetId="2">'3.1'!$L$7</definedName>
    <definedName name="L" comment="Länge der Grenze im alten Stand" localSheetId="2">'3.1'!$L$4</definedName>
    <definedName name="l" localSheetId="17">'4.10'!$F$46</definedName>
    <definedName name="l1_" localSheetId="17">'4.10'!$L$16</definedName>
    <definedName name="l2_" localSheetId="17">'4.10'!$L$17</definedName>
    <definedName name="l3_" localSheetId="17">'4.10'!$L$18</definedName>
    <definedName name="Masstab" localSheetId="20">'4.13'!$H$6</definedName>
    <definedName name="maxzeile" localSheetId="2">Gesamt!$M$52</definedName>
    <definedName name="maxzeile" localSheetId="1">Gesamt!$M$56</definedName>
    <definedName name="Messmet" localSheetId="3">'4.1.x'!$H$5</definedName>
    <definedName name="n" localSheetId="4">'4.1.3'!$H$12</definedName>
    <definedName name="n" localSheetId="3">'4.1.x'!$H$7</definedName>
    <definedName name="n" localSheetId="8">'4.4.x'!$D$4</definedName>
    <definedName name="n" localSheetId="10">'4.6'!$D$10</definedName>
    <definedName name="n_1" comment="Anzahl der Grenzpuntke auf alten Grenzen" localSheetId="2">'3.1'!$L$5</definedName>
    <definedName name="n_2" comment="Anzahl der Eigentümer" localSheetId="2">'3.1'!$L$6</definedName>
    <definedName name="n_3" comment="Anzahl der zu vereinigenden Grundstücke" localSheetId="2">'3.1'!$L$14</definedName>
    <definedName name="n_4" comment="Anzahl der Grundstücke im neuen Stand" localSheetId="2">'3.1'!$L$17</definedName>
    <definedName name="n_5" comment="Anzahl der Teilungsentwürfe" localSheetId="2">'3.1'!$L$20</definedName>
    <definedName name="n_6" comment="Anzahl der Einreichungen" localSheetId="2">'3.1'!$L$21</definedName>
    <definedName name="Nd" localSheetId="8">'4.4.x'!$D$7</definedName>
    <definedName name="Ndh" localSheetId="8">'4.4.x'!$D$8</definedName>
    <definedName name="Ndp" localSheetId="8">'4.4.x'!$D$5</definedName>
    <definedName name="Nds" localSheetId="8">'4.4.x'!$D$6</definedName>
    <definedName name="NK" localSheetId="4">'4.1.3'!$E$17</definedName>
    <definedName name="NK" localSheetId="3">'4.1.x'!$E$17</definedName>
    <definedName name="NK" localSheetId="20">'4.13'!$E$47</definedName>
    <definedName name="NK" localSheetId="21">'4.14'!$E$45</definedName>
    <definedName name="NK" localSheetId="5">'4.2'!$E$17</definedName>
    <definedName name="NK" localSheetId="6">'4.3'!$E$17</definedName>
    <definedName name="NK" localSheetId="7">'4.4.2'!$E$17</definedName>
    <definedName name="NK" localSheetId="8">'4.4.x'!$E$17</definedName>
    <definedName name="NK" localSheetId="9">'4.5'!$E$45</definedName>
    <definedName name="NK" localSheetId="10">'4.6'!$E$17</definedName>
    <definedName name="NK" localSheetId="23">'5.1'!$E$45</definedName>
    <definedName name="NK" localSheetId="24">'6.1'!$E$52</definedName>
    <definedName name="NK" localSheetId="25">'6.2'!$E$45</definedName>
    <definedName name="NK" localSheetId="26">'6.3'!#REF!</definedName>
    <definedName name="NK" localSheetId="27">DUMMY!$E$46</definedName>
    <definedName name="NK_1">'3.1'!$L$23</definedName>
    <definedName name="NK_2" comment="Amtsgebühren" localSheetId="2">'3.1'!$L$24</definedName>
    <definedName name="NK_3" comment="Gebühren ohne Mwst.">'3.1'!$L$25</definedName>
    <definedName name="nplus" localSheetId="17">'4.10'!$R$16</definedName>
    <definedName name="ns" localSheetId="17">'4.10'!$T$16</definedName>
    <definedName name="ns1_" localSheetId="17">'4.10'!$T$13</definedName>
    <definedName name="ns2_" localSheetId="17">'4.10'!$T$14</definedName>
    <definedName name="ns3_" localSheetId="17">'4.10'!$T$15</definedName>
    <definedName name="P" localSheetId="7">'4.4.2'!$D$8</definedName>
    <definedName name="PAK" comment="Punktabstandsklasse" localSheetId="3">'4.1.x'!$M$4</definedName>
    <definedName name="PktAbst" comment="durchschnittlicher Punktabstand" localSheetId="3">'4.1.x'!$H$4</definedName>
    <definedName name="S_" localSheetId="4">'4.1.3'!$H$10</definedName>
    <definedName name="S_" localSheetId="5">'4.2'!$H$7</definedName>
    <definedName name="S_" localSheetId="7">'4.4.2'!$D$6</definedName>
    <definedName name="S_" localSheetId="10">'4.6'!$D$8</definedName>
    <definedName name="s_1" comment="Aufnahme Naturbestand im Rahmen der Katastervermessung" localSheetId="2">'3.1'!$L$9</definedName>
    <definedName name="s_2" comment="Grenzverhandlung" localSheetId="2">'3.1'!$L$10</definedName>
    <definedName name="s_3" comment="Qualitätsverbesserungsplan" localSheetId="2">'3.1'!$L$11</definedName>
    <definedName name="s_4" comment="Mappenberichtigung, Umwandlung">'3.1'!$L$12</definedName>
    <definedName name="s_5" comment="Grundstücksvereinigung">'3.1'!$L$13</definedName>
    <definedName name="s_6" comment="Plan für Grundstücksvereinigung erforderlich" localSheetId="2">'3.1'!$L$15</definedName>
    <definedName name="s_7" comment="Grundteilung" localSheetId="2">'3.1'!$L$16</definedName>
    <definedName name="V" comment="Verkehrswert der betroffenen Grundstücke" localSheetId="2">'3.1'!$L$19</definedName>
    <definedName name="VSK" localSheetId="4">'4.1.3'!$F$19</definedName>
    <definedName name="VSK" comment="Vollständigkeit" localSheetId="3">'4.1.x'!$F$19</definedName>
    <definedName name="VSK" localSheetId="17">'4.10'!$F$19</definedName>
    <definedName name="VSK" localSheetId="20">'4.13'!$F$49</definedName>
    <definedName name="VSK" localSheetId="21">'4.14'!$E$47</definedName>
    <definedName name="VSK" localSheetId="5">'4.2'!$F$19</definedName>
    <definedName name="VSK" localSheetId="6">'4.3'!$F$19</definedName>
    <definedName name="VSK" localSheetId="7">'4.4.2'!$F$19</definedName>
    <definedName name="VSK" localSheetId="8">'4.4.x'!$F$19</definedName>
    <definedName name="VSK" localSheetId="9">'4.5'!$E$47</definedName>
    <definedName name="VSK" localSheetId="10">'4.6'!$F$19</definedName>
    <definedName name="VSK" localSheetId="15">'4.8'!$F$19</definedName>
    <definedName name="VSK" localSheetId="23">'5.1'!$E$47</definedName>
    <definedName name="VSK" localSheetId="24">'6.1'!$E$54</definedName>
    <definedName name="VSK" localSheetId="25">'6.2'!$E$47</definedName>
    <definedName name="VSK" localSheetId="26">'6.3'!$E$26</definedName>
    <definedName name="VSK" localSheetId="27">DUMMY!$E$48</definedName>
    <definedName name="VSK0_" localSheetId="20">'4.13'!$P$42</definedName>
    <definedName name="VSK1_" localSheetId="20">'4.13'!$P$43</definedName>
    <definedName name="VSK2_" localSheetId="20">'4.13'!$P$44</definedName>
    <definedName name="VSK3_" localSheetId="20">'4.13'!$P$45</definedName>
    <definedName name="VSK4_" localSheetId="20">'4.13'!$P$46</definedName>
    <definedName name="VSK5_" localSheetId="20">'4.13'!$P$47</definedName>
    <definedName name="W" localSheetId="3">'4.1.x'!$H$12</definedName>
    <definedName name="ZuAbschlag" localSheetId="4">'4.1.3'!$E$16</definedName>
    <definedName name="ZuAbschlag" localSheetId="3">'4.1.x'!$E$16</definedName>
    <definedName name="ZuAbschlag" localSheetId="20">'4.13'!$E$46</definedName>
    <definedName name="ZuAbschlag" localSheetId="21">'4.14'!$E$44</definedName>
    <definedName name="ZuAbschlag" localSheetId="5">'4.2'!$E$16</definedName>
    <definedName name="ZuAbschlag" localSheetId="6">'4.3'!$E$16</definedName>
    <definedName name="ZuAbschlag" localSheetId="7">'4.4.2'!$E$16</definedName>
    <definedName name="ZuAbschlag" localSheetId="8">'4.4.x'!$E$16</definedName>
    <definedName name="ZuAbschlag" localSheetId="9">'4.5'!$E$44</definedName>
    <definedName name="ZuAbschlag" localSheetId="10">'4.6'!$E$16</definedName>
    <definedName name="ZuAbschlag" localSheetId="23">'5.1'!$E$44</definedName>
    <definedName name="ZuAbschlag" localSheetId="24">'6.1'!$E$51</definedName>
    <definedName name="ZuAbschlag" localSheetId="25">'6.2'!$E$44</definedName>
    <definedName name="ZuAbschlag" localSheetId="26">'6.3'!$H$5</definedName>
    <definedName name="ZuAbschlag" localSheetId="27">DUMMY!$E$45</definedName>
  </definedNames>
  <calcPr calcId="145621"/>
</workbook>
</file>

<file path=xl/calcChain.xml><?xml version="1.0" encoding="utf-8"?>
<calcChain xmlns="http://schemas.openxmlformats.org/spreadsheetml/2006/main">
  <c r="C6" i="40" l="1"/>
  <c r="G6" i="40"/>
  <c r="H6" i="40"/>
  <c r="C7" i="40"/>
  <c r="G7" i="40"/>
  <c r="H7" i="40"/>
  <c r="C8" i="40"/>
  <c r="G8" i="40"/>
  <c r="H8" i="40"/>
  <c r="C9" i="40"/>
  <c r="G9" i="40"/>
  <c r="H9" i="40"/>
  <c r="C10" i="40"/>
  <c r="G10" i="40"/>
  <c r="H10" i="40"/>
  <c r="C11" i="40"/>
  <c r="G11" i="40"/>
  <c r="H11" i="40"/>
  <c r="C12" i="40"/>
  <c r="G12" i="40"/>
  <c r="H12" i="40"/>
  <c r="C13" i="40"/>
  <c r="G13" i="40"/>
  <c r="H13" i="40"/>
  <c r="C14" i="40"/>
  <c r="G14" i="40"/>
  <c r="H14" i="40"/>
  <c r="C15" i="40"/>
  <c r="G15" i="40"/>
  <c r="H15" i="40"/>
  <c r="C16" i="40"/>
  <c r="G16" i="40"/>
  <c r="H16" i="40"/>
  <c r="C17" i="40"/>
  <c r="G17" i="40"/>
  <c r="H17" i="40"/>
  <c r="C18" i="40"/>
  <c r="G18" i="40"/>
  <c r="H18" i="40"/>
  <c r="H5" i="40"/>
  <c r="G5" i="40"/>
  <c r="C5" i="40"/>
  <c r="G6" i="41"/>
  <c r="H6" i="41"/>
  <c r="G7" i="41"/>
  <c r="H7" i="41"/>
  <c r="G8" i="41"/>
  <c r="H8" i="41"/>
  <c r="G9" i="41"/>
  <c r="H9" i="41"/>
  <c r="G10" i="41"/>
  <c r="H10" i="41"/>
  <c r="G11" i="41"/>
  <c r="H11" i="41"/>
  <c r="G12" i="41"/>
  <c r="H12" i="41"/>
  <c r="G13" i="41"/>
  <c r="H13" i="41"/>
  <c r="G14" i="41"/>
  <c r="H14" i="41"/>
  <c r="G15" i="41"/>
  <c r="H15" i="41"/>
  <c r="G16" i="41"/>
  <c r="H16" i="41"/>
  <c r="G17" i="41"/>
  <c r="H17" i="41"/>
  <c r="G18" i="41"/>
  <c r="H18" i="41"/>
  <c r="H5" i="41"/>
  <c r="G5" i="41"/>
  <c r="C6" i="41"/>
  <c r="C7" i="41"/>
  <c r="C8" i="41"/>
  <c r="C9" i="41"/>
  <c r="C10" i="41"/>
  <c r="C11" i="41"/>
  <c r="C12" i="41"/>
  <c r="C13" i="41"/>
  <c r="C14" i="41"/>
  <c r="C15" i="41"/>
  <c r="C16" i="41"/>
  <c r="C17" i="41"/>
  <c r="C18" i="41"/>
  <c r="C5" i="41"/>
  <c r="G6" i="42"/>
  <c r="H6" i="42"/>
  <c r="G7" i="42"/>
  <c r="H7" i="42"/>
  <c r="G8" i="42"/>
  <c r="H8" i="42"/>
  <c r="G9" i="42"/>
  <c r="H9" i="42"/>
  <c r="G10" i="42"/>
  <c r="H10" i="42"/>
  <c r="G11" i="42"/>
  <c r="H11" i="42"/>
  <c r="G12" i="42"/>
  <c r="H12" i="42"/>
  <c r="G13" i="42"/>
  <c r="H13" i="42"/>
  <c r="G14" i="42"/>
  <c r="H14" i="42"/>
  <c r="G15" i="42"/>
  <c r="H15" i="42"/>
  <c r="G16" i="42"/>
  <c r="H16" i="42"/>
  <c r="G17" i="42"/>
  <c r="H17" i="42"/>
  <c r="G18" i="42"/>
  <c r="H18" i="42"/>
  <c r="H5" i="42"/>
  <c r="G5" i="42"/>
  <c r="C18" i="42"/>
  <c r="C6" i="42"/>
  <c r="C7" i="42"/>
  <c r="C8" i="42"/>
  <c r="C9" i="42"/>
  <c r="C10" i="42"/>
  <c r="C11" i="42"/>
  <c r="C12" i="42"/>
  <c r="C13" i="42"/>
  <c r="C14" i="42"/>
  <c r="C15" i="42"/>
  <c r="C16" i="42"/>
  <c r="C17" i="42"/>
  <c r="C5" i="42"/>
  <c r="G13" i="33"/>
  <c r="H13" i="33"/>
  <c r="G14" i="33"/>
  <c r="H14" i="33"/>
  <c r="G15" i="33"/>
  <c r="H15" i="33"/>
  <c r="G16" i="33"/>
  <c r="H16" i="33"/>
  <c r="G17" i="33"/>
  <c r="H17" i="33"/>
  <c r="G18" i="33"/>
  <c r="H18" i="33"/>
  <c r="G19" i="33"/>
  <c r="H19" i="33"/>
  <c r="G20" i="33"/>
  <c r="H20" i="33"/>
  <c r="G21" i="33"/>
  <c r="H21" i="33"/>
  <c r="G22" i="33"/>
  <c r="H22" i="33"/>
  <c r="G23" i="33"/>
  <c r="H23" i="33"/>
  <c r="G24" i="33"/>
  <c r="H24" i="33"/>
  <c r="H12" i="33"/>
  <c r="G12" i="33"/>
  <c r="C14" i="33"/>
  <c r="C15" i="33"/>
  <c r="C16" i="33"/>
  <c r="C17" i="33"/>
  <c r="C18" i="33"/>
  <c r="C19" i="33"/>
  <c r="C20" i="33"/>
  <c r="C21" i="33"/>
  <c r="C22" i="33"/>
  <c r="C23" i="33"/>
  <c r="C24" i="33"/>
  <c r="C13" i="33"/>
  <c r="C12" i="33"/>
  <c r="H16" i="26"/>
  <c r="H14" i="26"/>
  <c r="H18" i="26"/>
  <c r="H15" i="26"/>
  <c r="H17" i="26"/>
  <c r="L14" i="15" l="1"/>
  <c r="L4" i="15"/>
  <c r="L5" i="15"/>
  <c r="L6" i="15"/>
  <c r="L17" i="15"/>
  <c r="L18" i="15" l="1"/>
  <c r="L8" i="15" l="1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51" i="15"/>
  <c r="L25" i="15"/>
  <c r="L24" i="15"/>
  <c r="F73" i="15" s="1"/>
  <c r="L23" i="15"/>
  <c r="F72" i="15" s="1"/>
  <c r="L15" i="15"/>
  <c r="O7" i="15" s="1"/>
  <c r="L21" i="15"/>
  <c r="L20" i="15"/>
  <c r="L19" i="15"/>
  <c r="L16" i="15"/>
  <c r="L12" i="15"/>
  <c r="L13" i="15"/>
  <c r="L10" i="15"/>
  <c r="L11" i="15"/>
  <c r="L9" i="15"/>
  <c r="F78" i="15" l="1"/>
  <c r="H71" i="4"/>
  <c r="C71" i="4"/>
  <c r="C72" i="15"/>
  <c r="C73" i="15"/>
  <c r="C78" i="15"/>
  <c r="L7" i="15"/>
  <c r="H7" i="15"/>
  <c r="O4" i="15" l="1"/>
  <c r="O9" i="15"/>
  <c r="O6" i="15"/>
  <c r="O8" i="15"/>
  <c r="O5" i="15"/>
  <c r="C33" i="8"/>
  <c r="C33" i="21"/>
  <c r="F27" i="15" l="1"/>
  <c r="O10" i="15"/>
  <c r="Q20" i="12"/>
  <c r="R20" i="10"/>
  <c r="M12" i="12"/>
  <c r="M13" i="12"/>
  <c r="M11" i="12"/>
  <c r="P12" i="12"/>
  <c r="Q12" i="12" s="1"/>
  <c r="P13" i="12"/>
  <c r="Q13" i="12" s="1"/>
  <c r="P11" i="12"/>
  <c r="Q11" i="12" s="1"/>
  <c r="E10" i="11"/>
  <c r="Q7" i="10"/>
  <c r="Q8" i="10"/>
  <c r="R8" i="10" s="1"/>
  <c r="Q9" i="10"/>
  <c r="R9" i="10" s="1"/>
  <c r="Q10" i="10"/>
  <c r="R10" i="10" s="1"/>
  <c r="Q11" i="10"/>
  <c r="R11" i="10" s="1"/>
  <c r="Q12" i="10"/>
  <c r="R12" i="10" s="1"/>
  <c r="Q13" i="10"/>
  <c r="R13" i="10" s="1"/>
  <c r="Q6" i="10"/>
  <c r="R6" i="10" s="1"/>
  <c r="Q16" i="7"/>
  <c r="Q15" i="7"/>
  <c r="Q14" i="12" l="1"/>
  <c r="P14" i="12"/>
  <c r="Q14" i="10"/>
  <c r="R7" i="10"/>
  <c r="R14" i="10" s="1"/>
  <c r="R15" i="10" s="1"/>
  <c r="Q15" i="12" l="1"/>
  <c r="C33" i="12" s="1"/>
  <c r="C33" i="10"/>
  <c r="P46" i="25"/>
  <c r="D95" i="25"/>
  <c r="D87" i="25"/>
  <c r="E87" i="25" s="1"/>
  <c r="D89" i="25"/>
  <c r="E89" i="25" s="1"/>
  <c r="E88" i="25"/>
  <c r="E86" i="25"/>
  <c r="D88" i="25"/>
  <c r="D86" i="25"/>
  <c r="C89" i="25"/>
  <c r="C87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3" i="25"/>
  <c r="E84" i="25"/>
  <c r="C58" i="28" l="1"/>
  <c r="C29" i="23"/>
  <c r="G78" i="15" l="1"/>
  <c r="B56" i="28" l="1"/>
  <c r="C66" i="4"/>
  <c r="D66" i="4"/>
  <c r="G66" i="4"/>
  <c r="H66" i="4"/>
  <c r="C64" i="40"/>
  <c r="D64" i="40"/>
  <c r="E64" i="40"/>
  <c r="F64" i="40"/>
  <c r="C65" i="40"/>
  <c r="D65" i="40"/>
  <c r="E65" i="40"/>
  <c r="F65" i="40"/>
  <c r="C66" i="40"/>
  <c r="D66" i="40"/>
  <c r="E66" i="40"/>
  <c r="F66" i="40"/>
  <c r="C67" i="40"/>
  <c r="D67" i="40"/>
  <c r="E67" i="40"/>
  <c r="F67" i="40"/>
  <c r="C68" i="40"/>
  <c r="D68" i="40"/>
  <c r="E68" i="40"/>
  <c r="F68" i="40"/>
  <c r="C69" i="40"/>
  <c r="D69" i="40"/>
  <c r="E69" i="40"/>
  <c r="F69" i="40"/>
  <c r="C70" i="40"/>
  <c r="D70" i="40"/>
  <c r="E70" i="40"/>
  <c r="F70" i="40"/>
  <c r="C71" i="40"/>
  <c r="D71" i="40"/>
  <c r="E71" i="40"/>
  <c r="F71" i="40"/>
  <c r="C72" i="40"/>
  <c r="D72" i="40"/>
  <c r="E72" i="40"/>
  <c r="F72" i="40"/>
  <c r="C73" i="40"/>
  <c r="D73" i="40"/>
  <c r="E73" i="40"/>
  <c r="F73" i="40"/>
  <c r="C74" i="40"/>
  <c r="D74" i="40"/>
  <c r="E74" i="40"/>
  <c r="F74" i="40"/>
  <c r="C75" i="40"/>
  <c r="D75" i="40"/>
  <c r="E75" i="40"/>
  <c r="F75" i="40"/>
  <c r="C76" i="40"/>
  <c r="D76" i="40"/>
  <c r="E76" i="40"/>
  <c r="F76" i="40"/>
  <c r="C77" i="40"/>
  <c r="D77" i="40"/>
  <c r="E77" i="40"/>
  <c r="F77" i="40"/>
  <c r="C78" i="40"/>
  <c r="D78" i="40"/>
  <c r="E78" i="40"/>
  <c r="F78" i="40"/>
  <c r="C79" i="40"/>
  <c r="D79" i="40"/>
  <c r="E79" i="40"/>
  <c r="F79" i="40"/>
  <c r="C57" i="40"/>
  <c r="C57" i="41"/>
  <c r="C57" i="42"/>
  <c r="B55" i="41"/>
  <c r="B55" i="40"/>
  <c r="B55" i="42"/>
  <c r="F81" i="42"/>
  <c r="E81" i="42"/>
  <c r="D81" i="42"/>
  <c r="C81" i="42"/>
  <c r="F80" i="42"/>
  <c r="E80" i="42"/>
  <c r="D80" i="42"/>
  <c r="C80" i="42"/>
  <c r="F79" i="42"/>
  <c r="E79" i="42"/>
  <c r="D79" i="42"/>
  <c r="C79" i="42"/>
  <c r="F78" i="42"/>
  <c r="E78" i="42"/>
  <c r="D78" i="42"/>
  <c r="C78" i="42"/>
  <c r="F77" i="42"/>
  <c r="E77" i="42"/>
  <c r="D77" i="42"/>
  <c r="C77" i="42"/>
  <c r="F76" i="42"/>
  <c r="E76" i="42"/>
  <c r="D76" i="42"/>
  <c r="C76" i="42"/>
  <c r="F75" i="42"/>
  <c r="E75" i="42"/>
  <c r="D75" i="42"/>
  <c r="C75" i="42"/>
  <c r="F74" i="42"/>
  <c r="E74" i="42"/>
  <c r="D74" i="42"/>
  <c r="C74" i="42"/>
  <c r="F73" i="42"/>
  <c r="E73" i="42"/>
  <c r="D73" i="42"/>
  <c r="C73" i="42"/>
  <c r="F72" i="42"/>
  <c r="E72" i="42"/>
  <c r="D72" i="42"/>
  <c r="C72" i="42"/>
  <c r="F71" i="42"/>
  <c r="E71" i="42"/>
  <c r="D71" i="42"/>
  <c r="C71" i="42"/>
  <c r="F70" i="42"/>
  <c r="E70" i="42"/>
  <c r="D70" i="42"/>
  <c r="C70" i="42"/>
  <c r="F69" i="42"/>
  <c r="E69" i="42"/>
  <c r="D69" i="42"/>
  <c r="C69" i="42"/>
  <c r="F68" i="42"/>
  <c r="E68" i="42"/>
  <c r="D68" i="42"/>
  <c r="C68" i="42"/>
  <c r="F67" i="42"/>
  <c r="E67" i="42"/>
  <c r="D67" i="42"/>
  <c r="C67" i="42"/>
  <c r="F66" i="42"/>
  <c r="E66" i="42"/>
  <c r="D66" i="42"/>
  <c r="C66" i="42"/>
  <c r="F65" i="42"/>
  <c r="E65" i="42"/>
  <c r="D65" i="42"/>
  <c r="C65" i="42"/>
  <c r="F64" i="42"/>
  <c r="E64" i="42"/>
  <c r="D64" i="42"/>
  <c r="C64" i="42"/>
  <c r="F63" i="42"/>
  <c r="E63" i="42"/>
  <c r="D63" i="42"/>
  <c r="C63" i="42"/>
  <c r="F62" i="42"/>
  <c r="E62" i="42"/>
  <c r="D62" i="42"/>
  <c r="C62" i="42"/>
  <c r="E59" i="42"/>
  <c r="B52" i="42"/>
  <c r="B51" i="42"/>
  <c r="B50" i="42"/>
  <c r="H41" i="42"/>
  <c r="H81" i="42" s="1"/>
  <c r="G41" i="42"/>
  <c r="G81" i="42" s="1"/>
  <c r="H40" i="42"/>
  <c r="H80" i="42" s="1"/>
  <c r="G40" i="42"/>
  <c r="G80" i="42" s="1"/>
  <c r="H39" i="42"/>
  <c r="H79" i="42" s="1"/>
  <c r="G39" i="42"/>
  <c r="G79" i="42" s="1"/>
  <c r="H38" i="42"/>
  <c r="H78" i="42" s="1"/>
  <c r="G38" i="42"/>
  <c r="G78" i="42" s="1"/>
  <c r="H37" i="42"/>
  <c r="H77" i="42" s="1"/>
  <c r="G37" i="42"/>
  <c r="G77" i="42" s="1"/>
  <c r="H36" i="42"/>
  <c r="H76" i="42" s="1"/>
  <c r="G36" i="42"/>
  <c r="G76" i="42" s="1"/>
  <c r="H35" i="42"/>
  <c r="H75" i="42" s="1"/>
  <c r="G35" i="42"/>
  <c r="G75" i="42" s="1"/>
  <c r="H34" i="42"/>
  <c r="H74" i="42" s="1"/>
  <c r="G34" i="42"/>
  <c r="G74" i="42" s="1"/>
  <c r="H33" i="42"/>
  <c r="H73" i="42" s="1"/>
  <c r="G33" i="42"/>
  <c r="G73" i="42" s="1"/>
  <c r="H32" i="42"/>
  <c r="H72" i="42" s="1"/>
  <c r="G32" i="42"/>
  <c r="G72" i="42" s="1"/>
  <c r="H31" i="42"/>
  <c r="H71" i="42" s="1"/>
  <c r="G31" i="42"/>
  <c r="G71" i="42" s="1"/>
  <c r="H30" i="42"/>
  <c r="H70" i="42" s="1"/>
  <c r="G30" i="42"/>
  <c r="G70" i="42" s="1"/>
  <c r="H29" i="42"/>
  <c r="H69" i="42" s="1"/>
  <c r="G29" i="42"/>
  <c r="G69" i="42" s="1"/>
  <c r="H28" i="42"/>
  <c r="H68" i="42" s="1"/>
  <c r="G28" i="42"/>
  <c r="G68" i="42" s="1"/>
  <c r="H27" i="42"/>
  <c r="H67" i="42" s="1"/>
  <c r="G27" i="42"/>
  <c r="G67" i="42" s="1"/>
  <c r="H26" i="42"/>
  <c r="H66" i="42" s="1"/>
  <c r="G26" i="42"/>
  <c r="G66" i="42" s="1"/>
  <c r="H25" i="42"/>
  <c r="H65" i="42" s="1"/>
  <c r="G25" i="42"/>
  <c r="G65" i="42" s="1"/>
  <c r="H24" i="42"/>
  <c r="H64" i="42" s="1"/>
  <c r="G24" i="42"/>
  <c r="G64" i="42" s="1"/>
  <c r="H23" i="42"/>
  <c r="H63" i="42" s="1"/>
  <c r="G23" i="42"/>
  <c r="G63" i="42" s="1"/>
  <c r="H22" i="42"/>
  <c r="G22" i="42"/>
  <c r="G62" i="42" s="1"/>
  <c r="N2" i="42"/>
  <c r="N1" i="42"/>
  <c r="F81" i="41"/>
  <c r="E81" i="41"/>
  <c r="D81" i="41"/>
  <c r="C81" i="41"/>
  <c r="F80" i="41"/>
  <c r="E80" i="41"/>
  <c r="D80" i="41"/>
  <c r="C80" i="41"/>
  <c r="F79" i="41"/>
  <c r="E79" i="41"/>
  <c r="D79" i="41"/>
  <c r="C79" i="41"/>
  <c r="F78" i="41"/>
  <c r="E78" i="41"/>
  <c r="D78" i="41"/>
  <c r="C78" i="41"/>
  <c r="F77" i="41"/>
  <c r="E77" i="41"/>
  <c r="D77" i="41"/>
  <c r="C77" i="41"/>
  <c r="F76" i="41"/>
  <c r="E76" i="41"/>
  <c r="D76" i="41"/>
  <c r="C76" i="41"/>
  <c r="F75" i="41"/>
  <c r="E75" i="41"/>
  <c r="D75" i="41"/>
  <c r="C75" i="41"/>
  <c r="F74" i="41"/>
  <c r="E74" i="41"/>
  <c r="D74" i="41"/>
  <c r="C74" i="41"/>
  <c r="F73" i="41"/>
  <c r="E73" i="41"/>
  <c r="D73" i="41"/>
  <c r="C73" i="41"/>
  <c r="F72" i="41"/>
  <c r="E72" i="41"/>
  <c r="D72" i="41"/>
  <c r="C72" i="41"/>
  <c r="F71" i="41"/>
  <c r="E71" i="41"/>
  <c r="D71" i="41"/>
  <c r="C71" i="41"/>
  <c r="F70" i="41"/>
  <c r="E70" i="41"/>
  <c r="D70" i="41"/>
  <c r="C70" i="41"/>
  <c r="F69" i="41"/>
  <c r="E69" i="41"/>
  <c r="D69" i="41"/>
  <c r="C69" i="41"/>
  <c r="F68" i="41"/>
  <c r="E68" i="41"/>
  <c r="D68" i="41"/>
  <c r="C68" i="41"/>
  <c r="F67" i="41"/>
  <c r="E67" i="41"/>
  <c r="D67" i="41"/>
  <c r="C67" i="41"/>
  <c r="F66" i="41"/>
  <c r="E66" i="41"/>
  <c r="D66" i="41"/>
  <c r="C66" i="41"/>
  <c r="F65" i="41"/>
  <c r="E65" i="41"/>
  <c r="D65" i="41"/>
  <c r="C65" i="41"/>
  <c r="F64" i="41"/>
  <c r="E64" i="41"/>
  <c r="D64" i="41"/>
  <c r="C64" i="41"/>
  <c r="F63" i="41"/>
  <c r="E63" i="41"/>
  <c r="D63" i="41"/>
  <c r="C63" i="41"/>
  <c r="F62" i="41"/>
  <c r="E62" i="41"/>
  <c r="D62" i="41"/>
  <c r="C62" i="41"/>
  <c r="E59" i="41"/>
  <c r="B52" i="41"/>
  <c r="B51" i="41"/>
  <c r="B50" i="41"/>
  <c r="H41" i="41"/>
  <c r="H81" i="41" s="1"/>
  <c r="G41" i="41"/>
  <c r="G81" i="41" s="1"/>
  <c r="H40" i="41"/>
  <c r="H80" i="41" s="1"/>
  <c r="G40" i="41"/>
  <c r="G80" i="41" s="1"/>
  <c r="H39" i="41"/>
  <c r="H79" i="41" s="1"/>
  <c r="G39" i="41"/>
  <c r="G79" i="41" s="1"/>
  <c r="H38" i="41"/>
  <c r="H78" i="41" s="1"/>
  <c r="G38" i="41"/>
  <c r="G78" i="41" s="1"/>
  <c r="H37" i="41"/>
  <c r="H77" i="41" s="1"/>
  <c r="G37" i="41"/>
  <c r="G77" i="41" s="1"/>
  <c r="H36" i="41"/>
  <c r="H76" i="41" s="1"/>
  <c r="G36" i="41"/>
  <c r="G76" i="41" s="1"/>
  <c r="H35" i="41"/>
  <c r="H75" i="41" s="1"/>
  <c r="G35" i="41"/>
  <c r="G75" i="41" s="1"/>
  <c r="H34" i="41"/>
  <c r="H74" i="41" s="1"/>
  <c r="G34" i="41"/>
  <c r="G74" i="41" s="1"/>
  <c r="H33" i="41"/>
  <c r="H73" i="41" s="1"/>
  <c r="G33" i="41"/>
  <c r="G73" i="41" s="1"/>
  <c r="H32" i="41"/>
  <c r="H72" i="41" s="1"/>
  <c r="G32" i="41"/>
  <c r="G72" i="41" s="1"/>
  <c r="H31" i="41"/>
  <c r="H71" i="41" s="1"/>
  <c r="G31" i="41"/>
  <c r="G71" i="41" s="1"/>
  <c r="H30" i="41"/>
  <c r="H70" i="41" s="1"/>
  <c r="G30" i="41"/>
  <c r="G70" i="41" s="1"/>
  <c r="H29" i="41"/>
  <c r="H69" i="41" s="1"/>
  <c r="G29" i="41"/>
  <c r="G69" i="41" s="1"/>
  <c r="H28" i="41"/>
  <c r="H68" i="41" s="1"/>
  <c r="G28" i="41"/>
  <c r="G68" i="41" s="1"/>
  <c r="H27" i="41"/>
  <c r="H67" i="41" s="1"/>
  <c r="G27" i="41"/>
  <c r="G67" i="41" s="1"/>
  <c r="H26" i="41"/>
  <c r="H66" i="41" s="1"/>
  <c r="G26" i="41"/>
  <c r="G66" i="41" s="1"/>
  <c r="H25" i="41"/>
  <c r="H65" i="41" s="1"/>
  <c r="G25" i="41"/>
  <c r="G65" i="41" s="1"/>
  <c r="H24" i="41"/>
  <c r="H64" i="41" s="1"/>
  <c r="G24" i="41"/>
  <c r="G64" i="41" s="1"/>
  <c r="H23" i="41"/>
  <c r="H63" i="41" s="1"/>
  <c r="G23" i="41"/>
  <c r="G63" i="41" s="1"/>
  <c r="H22" i="41"/>
  <c r="G22" i="41"/>
  <c r="G62" i="41" s="1"/>
  <c r="N2" i="41"/>
  <c r="N1" i="41"/>
  <c r="F81" i="40"/>
  <c r="E81" i="40"/>
  <c r="D81" i="40"/>
  <c r="C81" i="40"/>
  <c r="F80" i="40"/>
  <c r="E80" i="40"/>
  <c r="D80" i="40"/>
  <c r="C80" i="40"/>
  <c r="F63" i="40"/>
  <c r="E63" i="40"/>
  <c r="D63" i="40"/>
  <c r="C63" i="40"/>
  <c r="F62" i="40"/>
  <c r="E62" i="40"/>
  <c r="D62" i="40"/>
  <c r="C62" i="40"/>
  <c r="E59" i="40"/>
  <c r="B52" i="40"/>
  <c r="B51" i="40"/>
  <c r="B50" i="40"/>
  <c r="H41" i="40"/>
  <c r="H81" i="40" s="1"/>
  <c r="G41" i="40"/>
  <c r="G81" i="40" s="1"/>
  <c r="H40" i="40"/>
  <c r="H80" i="40" s="1"/>
  <c r="G40" i="40"/>
  <c r="G80" i="40" s="1"/>
  <c r="H39" i="40"/>
  <c r="H79" i="40" s="1"/>
  <c r="G39" i="40"/>
  <c r="G79" i="40" s="1"/>
  <c r="H38" i="40"/>
  <c r="H78" i="40" s="1"/>
  <c r="G38" i="40"/>
  <c r="G78" i="40" s="1"/>
  <c r="H37" i="40"/>
  <c r="H77" i="40" s="1"/>
  <c r="G37" i="40"/>
  <c r="G77" i="40" s="1"/>
  <c r="H36" i="40"/>
  <c r="H76" i="40" s="1"/>
  <c r="G36" i="40"/>
  <c r="G76" i="40" s="1"/>
  <c r="H35" i="40"/>
  <c r="H75" i="40" s="1"/>
  <c r="G35" i="40"/>
  <c r="G75" i="40" s="1"/>
  <c r="H34" i="40"/>
  <c r="H74" i="40" s="1"/>
  <c r="G34" i="40"/>
  <c r="G74" i="40" s="1"/>
  <c r="H33" i="40"/>
  <c r="H73" i="40" s="1"/>
  <c r="G33" i="40"/>
  <c r="G73" i="40" s="1"/>
  <c r="H32" i="40"/>
  <c r="H72" i="40" s="1"/>
  <c r="G32" i="40"/>
  <c r="G72" i="40" s="1"/>
  <c r="H31" i="40"/>
  <c r="H71" i="40" s="1"/>
  <c r="G31" i="40"/>
  <c r="G71" i="40" s="1"/>
  <c r="H30" i="40"/>
  <c r="H70" i="40" s="1"/>
  <c r="G30" i="40"/>
  <c r="G70" i="40" s="1"/>
  <c r="H29" i="40"/>
  <c r="H69" i="40" s="1"/>
  <c r="G29" i="40"/>
  <c r="G69" i="40" s="1"/>
  <c r="H28" i="40"/>
  <c r="H68" i="40" s="1"/>
  <c r="G28" i="40"/>
  <c r="G68" i="40" s="1"/>
  <c r="H27" i="40"/>
  <c r="H67" i="40" s="1"/>
  <c r="G27" i="40"/>
  <c r="G67" i="40" s="1"/>
  <c r="H26" i="40"/>
  <c r="H66" i="40" s="1"/>
  <c r="G26" i="40"/>
  <c r="G66" i="40" s="1"/>
  <c r="H25" i="40"/>
  <c r="H65" i="40" s="1"/>
  <c r="G25" i="40"/>
  <c r="G65" i="40" s="1"/>
  <c r="H24" i="40"/>
  <c r="H64" i="40" s="1"/>
  <c r="G24" i="40"/>
  <c r="G64" i="40" s="1"/>
  <c r="H23" i="40"/>
  <c r="H63" i="40" s="1"/>
  <c r="G23" i="40"/>
  <c r="G63" i="40" s="1"/>
  <c r="H22" i="40"/>
  <c r="G22" i="40"/>
  <c r="G62" i="40" s="1"/>
  <c r="N2" i="40"/>
  <c r="N1" i="40"/>
  <c r="O39" i="4"/>
  <c r="O53" i="4"/>
  <c r="O51" i="4"/>
  <c r="E47" i="40" l="1"/>
  <c r="H62" i="40"/>
  <c r="E47" i="41"/>
  <c r="G85" i="41" s="1"/>
  <c r="H62" i="41"/>
  <c r="E47" i="42"/>
  <c r="C47" i="42" s="1"/>
  <c r="H62" i="42"/>
  <c r="G87" i="41"/>
  <c r="G87" i="40"/>
  <c r="G82" i="40"/>
  <c r="C47" i="40"/>
  <c r="C85" i="40"/>
  <c r="G84" i="40"/>
  <c r="G47" i="40"/>
  <c r="N3" i="40"/>
  <c r="L39" i="4" s="1"/>
  <c r="G85" i="40"/>
  <c r="C84" i="40"/>
  <c r="F85" i="40"/>
  <c r="H42" i="40"/>
  <c r="F84" i="40"/>
  <c r="E84" i="40"/>
  <c r="B53" i="25"/>
  <c r="B23" i="14"/>
  <c r="B54" i="25"/>
  <c r="B24" i="14"/>
  <c r="B52" i="25"/>
  <c r="B22" i="13"/>
  <c r="N2" i="23"/>
  <c r="N2" i="22"/>
  <c r="D2" i="21"/>
  <c r="S51" i="4"/>
  <c r="S39" i="4"/>
  <c r="G82" i="41" l="1"/>
  <c r="N3" i="41"/>
  <c r="L51" i="4" s="1"/>
  <c r="E84" i="41"/>
  <c r="H42" i="41"/>
  <c r="F84" i="41"/>
  <c r="G84" i="41"/>
  <c r="C85" i="41"/>
  <c r="F85" i="41"/>
  <c r="C47" i="41"/>
  <c r="G47" i="41"/>
  <c r="C84" i="41"/>
  <c r="G82" i="42"/>
  <c r="C85" i="42"/>
  <c r="G84" i="42"/>
  <c r="N3" i="42"/>
  <c r="L53" i="4" s="1"/>
  <c r="C84" i="42"/>
  <c r="F84" i="42"/>
  <c r="G85" i="42"/>
  <c r="H42" i="42"/>
  <c r="F85" i="42"/>
  <c r="G87" i="42" s="1"/>
  <c r="G47" i="42" s="1"/>
  <c r="E84" i="42"/>
  <c r="S53" i="4"/>
  <c r="H17" i="28" l="1"/>
  <c r="H16" i="28"/>
  <c r="H15" i="28"/>
  <c r="H14" i="28"/>
  <c r="H13" i="28"/>
  <c r="H12" i="28"/>
  <c r="H11" i="28"/>
  <c r="H10" i="28"/>
  <c r="H9" i="28"/>
  <c r="H8" i="28"/>
  <c r="H7" i="28"/>
  <c r="H6" i="28"/>
  <c r="H13" i="26"/>
  <c r="H10" i="26"/>
  <c r="H11" i="26"/>
  <c r="H12" i="26"/>
  <c r="H60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H56" i="34"/>
  <c r="H57" i="34"/>
  <c r="H58" i="34"/>
  <c r="H59" i="34"/>
  <c r="H41" i="34"/>
  <c r="C42" i="34"/>
  <c r="C43" i="34"/>
  <c r="C44" i="34"/>
  <c r="C45" i="34"/>
  <c r="C46" i="34"/>
  <c r="C47" i="34"/>
  <c r="C48" i="34"/>
  <c r="C49" i="34"/>
  <c r="C50" i="34"/>
  <c r="C51" i="34"/>
  <c r="C52" i="34"/>
  <c r="C53" i="34"/>
  <c r="C54" i="34"/>
  <c r="C55" i="34"/>
  <c r="C56" i="34"/>
  <c r="C57" i="34"/>
  <c r="C58" i="34"/>
  <c r="C59" i="34"/>
  <c r="C60" i="34"/>
  <c r="C41" i="34"/>
  <c r="E26" i="34"/>
  <c r="E38" i="34"/>
  <c r="B34" i="34"/>
  <c r="B31" i="34"/>
  <c r="B30" i="34"/>
  <c r="B29" i="34"/>
  <c r="N2" i="34"/>
  <c r="N1" i="34"/>
  <c r="H8" i="33"/>
  <c r="H7" i="33"/>
  <c r="H6" i="33"/>
  <c r="H5" i="33"/>
  <c r="H9" i="33"/>
  <c r="H10" i="33"/>
  <c r="F88" i="33"/>
  <c r="E88" i="33"/>
  <c r="D88" i="33"/>
  <c r="C88" i="33"/>
  <c r="F87" i="33"/>
  <c r="E87" i="33"/>
  <c r="D87" i="33"/>
  <c r="C87" i="33"/>
  <c r="F86" i="33"/>
  <c r="E86" i="33"/>
  <c r="D86" i="33"/>
  <c r="C86" i="33"/>
  <c r="F85" i="33"/>
  <c r="E85" i="33"/>
  <c r="D85" i="33"/>
  <c r="C85" i="33"/>
  <c r="F84" i="33"/>
  <c r="E84" i="33"/>
  <c r="D84" i="33"/>
  <c r="C84" i="33"/>
  <c r="F83" i="33"/>
  <c r="E83" i="33"/>
  <c r="D83" i="33"/>
  <c r="C83" i="33"/>
  <c r="F82" i="33"/>
  <c r="E82" i="33"/>
  <c r="D82" i="33"/>
  <c r="C82" i="33"/>
  <c r="F81" i="33"/>
  <c r="E81" i="33"/>
  <c r="D81" i="33"/>
  <c r="C81" i="33"/>
  <c r="F80" i="33"/>
  <c r="E80" i="33"/>
  <c r="D80" i="33"/>
  <c r="C80" i="33"/>
  <c r="F79" i="33"/>
  <c r="E79" i="33"/>
  <c r="D79" i="33"/>
  <c r="C79" i="33"/>
  <c r="F78" i="33"/>
  <c r="E78" i="33"/>
  <c r="D78" i="33"/>
  <c r="C78" i="33"/>
  <c r="F77" i="33"/>
  <c r="E77" i="33"/>
  <c r="D77" i="33"/>
  <c r="C77" i="33"/>
  <c r="F76" i="33"/>
  <c r="E76" i="33"/>
  <c r="D76" i="33"/>
  <c r="C76" i="33"/>
  <c r="F75" i="33"/>
  <c r="E75" i="33"/>
  <c r="D75" i="33"/>
  <c r="C75" i="33"/>
  <c r="F74" i="33"/>
  <c r="E74" i="33"/>
  <c r="D74" i="33"/>
  <c r="C74" i="33"/>
  <c r="F73" i="33"/>
  <c r="E73" i="33"/>
  <c r="D73" i="33"/>
  <c r="C73" i="33"/>
  <c r="F72" i="33"/>
  <c r="E72" i="33"/>
  <c r="D72" i="33"/>
  <c r="C72" i="33"/>
  <c r="F71" i="33"/>
  <c r="E71" i="33"/>
  <c r="D71" i="33"/>
  <c r="C71" i="33"/>
  <c r="F70" i="33"/>
  <c r="E70" i="33"/>
  <c r="D70" i="33"/>
  <c r="C70" i="33"/>
  <c r="F69" i="33"/>
  <c r="E69" i="33"/>
  <c r="D69" i="33"/>
  <c r="C69" i="33"/>
  <c r="E66" i="33"/>
  <c r="B62" i="33"/>
  <c r="B59" i="33"/>
  <c r="B58" i="33"/>
  <c r="B57" i="33"/>
  <c r="H48" i="33"/>
  <c r="H88" i="33" s="1"/>
  <c r="G48" i="33"/>
  <c r="G88" i="33" s="1"/>
  <c r="H47" i="33"/>
  <c r="H87" i="33" s="1"/>
  <c r="G47" i="33"/>
  <c r="G87" i="33" s="1"/>
  <c r="H46" i="33"/>
  <c r="H86" i="33" s="1"/>
  <c r="G46" i="33"/>
  <c r="G86" i="33" s="1"/>
  <c r="H45" i="33"/>
  <c r="H85" i="33" s="1"/>
  <c r="G45" i="33"/>
  <c r="G85" i="33" s="1"/>
  <c r="H44" i="33"/>
  <c r="H84" i="33" s="1"/>
  <c r="G44" i="33"/>
  <c r="G84" i="33" s="1"/>
  <c r="H43" i="33"/>
  <c r="H83" i="33" s="1"/>
  <c r="G43" i="33"/>
  <c r="G83" i="33" s="1"/>
  <c r="H42" i="33"/>
  <c r="H82" i="33" s="1"/>
  <c r="G42" i="33"/>
  <c r="G82" i="33" s="1"/>
  <c r="H41" i="33"/>
  <c r="H81" i="33" s="1"/>
  <c r="G41" i="33"/>
  <c r="G81" i="33" s="1"/>
  <c r="H40" i="33"/>
  <c r="H80" i="33" s="1"/>
  <c r="G40" i="33"/>
  <c r="G80" i="33" s="1"/>
  <c r="H39" i="33"/>
  <c r="H79" i="33" s="1"/>
  <c r="G39" i="33"/>
  <c r="G79" i="33" s="1"/>
  <c r="H38" i="33"/>
  <c r="H78" i="33" s="1"/>
  <c r="G38" i="33"/>
  <c r="G78" i="33" s="1"/>
  <c r="H37" i="33"/>
  <c r="H77" i="33" s="1"/>
  <c r="G37" i="33"/>
  <c r="G77" i="33" s="1"/>
  <c r="H36" i="33"/>
  <c r="H76" i="33" s="1"/>
  <c r="G36" i="33"/>
  <c r="G76" i="33" s="1"/>
  <c r="H35" i="33"/>
  <c r="H75" i="33" s="1"/>
  <c r="G35" i="33"/>
  <c r="G75" i="33" s="1"/>
  <c r="H34" i="33"/>
  <c r="H74" i="33" s="1"/>
  <c r="G34" i="33"/>
  <c r="G74" i="33" s="1"/>
  <c r="H33" i="33"/>
  <c r="H73" i="33" s="1"/>
  <c r="G33" i="33"/>
  <c r="G73" i="33" s="1"/>
  <c r="H32" i="33"/>
  <c r="H72" i="33" s="1"/>
  <c r="G32" i="33"/>
  <c r="G72" i="33" s="1"/>
  <c r="H31" i="33"/>
  <c r="H71" i="33" s="1"/>
  <c r="G31" i="33"/>
  <c r="G71" i="33" s="1"/>
  <c r="H30" i="33"/>
  <c r="H70" i="33" s="1"/>
  <c r="G30" i="33"/>
  <c r="G70" i="33" s="1"/>
  <c r="H29" i="33"/>
  <c r="H69" i="33" s="1"/>
  <c r="G29" i="33"/>
  <c r="G69" i="33" s="1"/>
  <c r="N2" i="33"/>
  <c r="N1" i="33"/>
  <c r="O54" i="4"/>
  <c r="O56" i="4"/>
  <c r="E54" i="33" l="1"/>
  <c r="N2" i="25"/>
  <c r="N1" i="25"/>
  <c r="N2" i="14"/>
  <c r="N2" i="28"/>
  <c r="N1" i="28"/>
  <c r="N2" i="26"/>
  <c r="N1" i="26"/>
  <c r="N1" i="14"/>
  <c r="N2" i="13"/>
  <c r="N1" i="13"/>
  <c r="N2" i="12"/>
  <c r="N1" i="12"/>
  <c r="N2" i="24"/>
  <c r="N1" i="24"/>
  <c r="N2" i="11"/>
  <c r="N1" i="11"/>
  <c r="N2" i="10"/>
  <c r="N1" i="10"/>
  <c r="G61" i="34" l="1"/>
  <c r="G64" i="34" s="1"/>
  <c r="G26" i="34" s="1"/>
  <c r="C26" i="34"/>
  <c r="N3" i="34"/>
  <c r="L56" i="4" s="1"/>
  <c r="G92" i="33"/>
  <c r="H49" i="33"/>
  <c r="C92" i="33"/>
  <c r="G91" i="33"/>
  <c r="F92" i="33"/>
  <c r="N3" i="33"/>
  <c r="L54" i="4" s="1"/>
  <c r="F91" i="33"/>
  <c r="G94" i="33" s="1"/>
  <c r="G89" i="33"/>
  <c r="C54" i="33"/>
  <c r="E91" i="33"/>
  <c r="C91" i="33"/>
  <c r="N2" i="9"/>
  <c r="N1" i="9"/>
  <c r="N2" i="8"/>
  <c r="N1" i="8"/>
  <c r="N2" i="6"/>
  <c r="N2" i="7"/>
  <c r="N1" i="6"/>
  <c r="N1" i="7"/>
  <c r="N1" i="22"/>
  <c r="N1" i="23"/>
  <c r="N2" i="21"/>
  <c r="N1" i="21"/>
  <c r="N2" i="20"/>
  <c r="N1" i="20"/>
  <c r="N2" i="19"/>
  <c r="N1" i="19"/>
  <c r="N2" i="18"/>
  <c r="N1" i="18"/>
  <c r="N2" i="17"/>
  <c r="N1" i="17"/>
  <c r="N2" i="15"/>
  <c r="N1" i="15"/>
  <c r="S54" i="4"/>
  <c r="S56" i="4"/>
  <c r="O32" i="4"/>
  <c r="G54" i="33" l="1"/>
  <c r="F82" i="28"/>
  <c r="E82" i="28"/>
  <c r="D82" i="28"/>
  <c r="C82" i="28"/>
  <c r="F81" i="28"/>
  <c r="E81" i="28"/>
  <c r="D81" i="28"/>
  <c r="C81" i="28"/>
  <c r="F80" i="28"/>
  <c r="E80" i="28"/>
  <c r="D80" i="28"/>
  <c r="C80" i="28"/>
  <c r="F79" i="28"/>
  <c r="E79" i="28"/>
  <c r="D79" i="28"/>
  <c r="C79" i="28"/>
  <c r="F78" i="28"/>
  <c r="E78" i="28"/>
  <c r="D78" i="28"/>
  <c r="C78" i="28"/>
  <c r="F77" i="28"/>
  <c r="E77" i="28"/>
  <c r="D77" i="28"/>
  <c r="C77" i="28"/>
  <c r="F76" i="28"/>
  <c r="E76" i="28"/>
  <c r="D76" i="28"/>
  <c r="C76" i="28"/>
  <c r="F75" i="28"/>
  <c r="E75" i="28"/>
  <c r="D75" i="28"/>
  <c r="C75" i="28"/>
  <c r="F74" i="28"/>
  <c r="E74" i="28"/>
  <c r="D74" i="28"/>
  <c r="C74" i="28"/>
  <c r="F73" i="28"/>
  <c r="E73" i="28"/>
  <c r="D73" i="28"/>
  <c r="C73" i="28"/>
  <c r="F72" i="28"/>
  <c r="E72" i="28"/>
  <c r="D72" i="28"/>
  <c r="C72" i="28"/>
  <c r="F71" i="28"/>
  <c r="E71" i="28"/>
  <c r="D71" i="28"/>
  <c r="C71" i="28"/>
  <c r="F70" i="28"/>
  <c r="E70" i="28"/>
  <c r="D70" i="28"/>
  <c r="C70" i="28"/>
  <c r="F69" i="28"/>
  <c r="E69" i="28"/>
  <c r="D69" i="28"/>
  <c r="C69" i="28"/>
  <c r="F68" i="28"/>
  <c r="E68" i="28"/>
  <c r="D68" i="28"/>
  <c r="C68" i="28"/>
  <c r="F67" i="28"/>
  <c r="E67" i="28"/>
  <c r="D67" i="28"/>
  <c r="C67" i="28"/>
  <c r="F66" i="28"/>
  <c r="E66" i="28"/>
  <c r="D66" i="28"/>
  <c r="C66" i="28"/>
  <c r="F65" i="28"/>
  <c r="E65" i="28"/>
  <c r="D65" i="28"/>
  <c r="C65" i="28"/>
  <c r="F64" i="28"/>
  <c r="E64" i="28"/>
  <c r="D64" i="28"/>
  <c r="C64" i="28"/>
  <c r="F63" i="28"/>
  <c r="E63" i="28"/>
  <c r="D63" i="28"/>
  <c r="C63" i="28"/>
  <c r="E60" i="28"/>
  <c r="B53" i="28"/>
  <c r="B52" i="28"/>
  <c r="B51" i="28"/>
  <c r="H42" i="28"/>
  <c r="H82" i="28" s="1"/>
  <c r="G42" i="28"/>
  <c r="G82" i="28" s="1"/>
  <c r="H41" i="28"/>
  <c r="H81" i="28" s="1"/>
  <c r="G41" i="28"/>
  <c r="G81" i="28" s="1"/>
  <c r="H40" i="28"/>
  <c r="H80" i="28" s="1"/>
  <c r="G40" i="28"/>
  <c r="G80" i="28" s="1"/>
  <c r="H39" i="28"/>
  <c r="H79" i="28" s="1"/>
  <c r="G39" i="28"/>
  <c r="G79" i="28" s="1"/>
  <c r="H38" i="28"/>
  <c r="H78" i="28" s="1"/>
  <c r="G38" i="28"/>
  <c r="G78" i="28" s="1"/>
  <c r="H37" i="28"/>
  <c r="H77" i="28" s="1"/>
  <c r="G37" i="28"/>
  <c r="G77" i="28" s="1"/>
  <c r="H36" i="28"/>
  <c r="H76" i="28" s="1"/>
  <c r="G36" i="28"/>
  <c r="G76" i="28" s="1"/>
  <c r="H35" i="28"/>
  <c r="H75" i="28" s="1"/>
  <c r="G35" i="28"/>
  <c r="G75" i="28" s="1"/>
  <c r="H34" i="28"/>
  <c r="H74" i="28" s="1"/>
  <c r="G34" i="28"/>
  <c r="G74" i="28" s="1"/>
  <c r="H33" i="28"/>
  <c r="H73" i="28" s="1"/>
  <c r="G33" i="28"/>
  <c r="G73" i="28" s="1"/>
  <c r="H32" i="28"/>
  <c r="H72" i="28" s="1"/>
  <c r="G32" i="28"/>
  <c r="G72" i="28" s="1"/>
  <c r="H31" i="28"/>
  <c r="H71" i="28" s="1"/>
  <c r="G31" i="28"/>
  <c r="G71" i="28" s="1"/>
  <c r="H30" i="28"/>
  <c r="H70" i="28" s="1"/>
  <c r="G30" i="28"/>
  <c r="G70" i="28" s="1"/>
  <c r="H29" i="28"/>
  <c r="H69" i="28" s="1"/>
  <c r="G29" i="28"/>
  <c r="G69" i="28" s="1"/>
  <c r="H28" i="28"/>
  <c r="H68" i="28" s="1"/>
  <c r="G28" i="28"/>
  <c r="G68" i="28" s="1"/>
  <c r="H27" i="28"/>
  <c r="H67" i="28" s="1"/>
  <c r="G27" i="28"/>
  <c r="G67" i="28" s="1"/>
  <c r="H26" i="28"/>
  <c r="H66" i="28" s="1"/>
  <c r="G26" i="28"/>
  <c r="G66" i="28" s="1"/>
  <c r="H25" i="28"/>
  <c r="H65" i="28" s="1"/>
  <c r="G25" i="28"/>
  <c r="G65" i="28" s="1"/>
  <c r="H24" i="28"/>
  <c r="H64" i="28" s="1"/>
  <c r="G24" i="28"/>
  <c r="G64" i="28" s="1"/>
  <c r="G23" i="28"/>
  <c r="G63" i="28" s="1"/>
  <c r="C29" i="18"/>
  <c r="H23" i="28" l="1"/>
  <c r="H63" i="28" s="1"/>
  <c r="F19" i="7"/>
  <c r="E48" i="28" l="1"/>
  <c r="G86" i="28" s="1"/>
  <c r="N3" i="7"/>
  <c r="L41" i="4" s="1"/>
  <c r="E45" i="12"/>
  <c r="E46" i="12"/>
  <c r="E85" i="28" l="1"/>
  <c r="G83" i="28"/>
  <c r="C86" i="28"/>
  <c r="N3" i="28"/>
  <c r="G85" i="28"/>
  <c r="C85" i="28"/>
  <c r="F85" i="28"/>
  <c r="C48" i="28"/>
  <c r="F86" i="28"/>
  <c r="G88" i="28" s="1"/>
  <c r="H43" i="28"/>
  <c r="G48" i="28"/>
  <c r="F19" i="14"/>
  <c r="N3" i="14" s="1"/>
  <c r="L52" i="4" s="1"/>
  <c r="G92" i="25"/>
  <c r="H61" i="25" l="1"/>
  <c r="P42" i="25"/>
  <c r="P44" i="25"/>
  <c r="D80" i="25"/>
  <c r="D75" i="25"/>
  <c r="D70" i="25"/>
  <c r="G91" i="25"/>
  <c r="D74" i="25"/>
  <c r="G17" i="25" l="1"/>
  <c r="C17" i="4" l="1"/>
  <c r="C69" i="4"/>
  <c r="G59" i="25"/>
  <c r="C63" i="26"/>
  <c r="D63" i="26"/>
  <c r="E63" i="26"/>
  <c r="F63" i="26"/>
  <c r="C64" i="26"/>
  <c r="D64" i="26"/>
  <c r="E64" i="26"/>
  <c r="F64" i="26"/>
  <c r="C65" i="26"/>
  <c r="D65" i="26"/>
  <c r="E65" i="26"/>
  <c r="F65" i="26"/>
  <c r="C66" i="26"/>
  <c r="D66" i="26"/>
  <c r="E66" i="26"/>
  <c r="F66" i="26"/>
  <c r="C67" i="26"/>
  <c r="D67" i="26"/>
  <c r="E67" i="26"/>
  <c r="F67" i="26"/>
  <c r="C68" i="26"/>
  <c r="D68" i="26"/>
  <c r="E68" i="26"/>
  <c r="F68" i="26"/>
  <c r="C69" i="26"/>
  <c r="D69" i="26"/>
  <c r="E69" i="26"/>
  <c r="F69" i="26"/>
  <c r="C70" i="26"/>
  <c r="D70" i="26"/>
  <c r="E70" i="26"/>
  <c r="F70" i="26"/>
  <c r="C71" i="26"/>
  <c r="D71" i="26"/>
  <c r="E71" i="26"/>
  <c r="F71" i="26"/>
  <c r="C72" i="26"/>
  <c r="D72" i="26"/>
  <c r="E72" i="26"/>
  <c r="F72" i="26"/>
  <c r="C73" i="26"/>
  <c r="D73" i="26"/>
  <c r="E73" i="26"/>
  <c r="F73" i="26"/>
  <c r="C74" i="26"/>
  <c r="D74" i="26"/>
  <c r="E74" i="26"/>
  <c r="F74" i="26"/>
  <c r="C75" i="26"/>
  <c r="D75" i="26"/>
  <c r="E75" i="26"/>
  <c r="F75" i="26"/>
  <c r="C76" i="26"/>
  <c r="D76" i="26"/>
  <c r="E76" i="26"/>
  <c r="F76" i="26"/>
  <c r="C77" i="26"/>
  <c r="D77" i="26"/>
  <c r="E77" i="26"/>
  <c r="F77" i="26"/>
  <c r="C78" i="26"/>
  <c r="D78" i="26"/>
  <c r="E78" i="26"/>
  <c r="F78" i="26"/>
  <c r="C79" i="26"/>
  <c r="D79" i="26"/>
  <c r="E79" i="26"/>
  <c r="F79" i="26"/>
  <c r="C80" i="26"/>
  <c r="D80" i="26"/>
  <c r="E80" i="26"/>
  <c r="F80" i="26"/>
  <c r="C81" i="26"/>
  <c r="D81" i="26"/>
  <c r="E81" i="26"/>
  <c r="F81" i="26"/>
  <c r="D62" i="26"/>
  <c r="E62" i="26"/>
  <c r="F62" i="26"/>
  <c r="C62" i="26"/>
  <c r="G23" i="26"/>
  <c r="G63" i="26" s="1"/>
  <c r="G24" i="26"/>
  <c r="G64" i="26" s="1"/>
  <c r="G25" i="26"/>
  <c r="G65" i="26" s="1"/>
  <c r="G26" i="26"/>
  <c r="G66" i="26" s="1"/>
  <c r="G27" i="26"/>
  <c r="G67" i="26" s="1"/>
  <c r="G28" i="26"/>
  <c r="G68" i="26" s="1"/>
  <c r="G29" i="26"/>
  <c r="G69" i="26" s="1"/>
  <c r="G30" i="26"/>
  <c r="G70" i="26" s="1"/>
  <c r="G31" i="26"/>
  <c r="G71" i="26" s="1"/>
  <c r="G32" i="26"/>
  <c r="G72" i="26" s="1"/>
  <c r="G33" i="26"/>
  <c r="G73" i="26" s="1"/>
  <c r="G34" i="26"/>
  <c r="G74" i="26" s="1"/>
  <c r="G35" i="26"/>
  <c r="G75" i="26" s="1"/>
  <c r="G36" i="26"/>
  <c r="G76" i="26" s="1"/>
  <c r="G37" i="26"/>
  <c r="G77" i="26" s="1"/>
  <c r="G38" i="26"/>
  <c r="G78" i="26" s="1"/>
  <c r="G39" i="26"/>
  <c r="G79" i="26" s="1"/>
  <c r="G40" i="26"/>
  <c r="G80" i="26" s="1"/>
  <c r="G41" i="26"/>
  <c r="G81" i="26" s="1"/>
  <c r="H8" i="26"/>
  <c r="H9" i="26"/>
  <c r="H7" i="26"/>
  <c r="H6" i="26"/>
  <c r="H5" i="26"/>
  <c r="H41" i="26" s="1"/>
  <c r="H81" i="26" s="1"/>
  <c r="E59" i="26"/>
  <c r="B55" i="26"/>
  <c r="B52" i="26"/>
  <c r="B51" i="26"/>
  <c r="B50" i="26"/>
  <c r="B8" i="23"/>
  <c r="B7" i="23"/>
  <c r="B4" i="23"/>
  <c r="G4" i="23"/>
  <c r="O55" i="4"/>
  <c r="G22" i="26" l="1"/>
  <c r="G62" i="26" s="1"/>
  <c r="H28" i="26"/>
  <c r="H68" i="26" s="1"/>
  <c r="H26" i="26"/>
  <c r="H66" i="26" s="1"/>
  <c r="H34" i="26"/>
  <c r="H74" i="26" s="1"/>
  <c r="H27" i="26"/>
  <c r="H67" i="26" s="1"/>
  <c r="H35" i="26"/>
  <c r="H75" i="26" s="1"/>
  <c r="H36" i="26"/>
  <c r="H76" i="26" s="1"/>
  <c r="H30" i="26"/>
  <c r="H70" i="26" s="1"/>
  <c r="H38" i="26"/>
  <c r="H78" i="26" s="1"/>
  <c r="H23" i="26"/>
  <c r="H63" i="26" s="1"/>
  <c r="H31" i="26"/>
  <c r="H71" i="26" s="1"/>
  <c r="H39" i="26"/>
  <c r="H79" i="26" s="1"/>
  <c r="H29" i="26"/>
  <c r="H69" i="26" s="1"/>
  <c r="H37" i="26"/>
  <c r="H77" i="26" s="1"/>
  <c r="H24" i="26"/>
  <c r="H64" i="26" s="1"/>
  <c r="H32" i="26"/>
  <c r="H72" i="26" s="1"/>
  <c r="H40" i="26"/>
  <c r="H80" i="26" s="1"/>
  <c r="H25" i="26"/>
  <c r="H65" i="26" s="1"/>
  <c r="H33" i="26"/>
  <c r="H73" i="26" s="1"/>
  <c r="E38" i="19"/>
  <c r="E42" i="18"/>
  <c r="D38" i="19"/>
  <c r="D42" i="18"/>
  <c r="H12" i="17"/>
  <c r="D36" i="17"/>
  <c r="M4" i="17"/>
  <c r="H6" i="17"/>
  <c r="H5" i="17"/>
  <c r="C29" i="17" s="1"/>
  <c r="H30" i="4"/>
  <c r="D68" i="25"/>
  <c r="E68" i="25" s="1"/>
  <c r="D67" i="25"/>
  <c r="D64" i="25"/>
  <c r="P43" i="25"/>
  <c r="H43" i="25"/>
  <c r="H104" i="25" s="1"/>
  <c r="H42" i="25"/>
  <c r="H103" i="25" s="1"/>
  <c r="H41" i="25"/>
  <c r="H102" i="25" s="1"/>
  <c r="H40" i="25"/>
  <c r="H101" i="25" s="1"/>
  <c r="H39" i="25"/>
  <c r="H100" i="25" s="1"/>
  <c r="H38" i="25"/>
  <c r="H99" i="25" s="1"/>
  <c r="C14" i="25"/>
  <c r="F104" i="25"/>
  <c r="F103" i="25"/>
  <c r="F102" i="25"/>
  <c r="F101" i="25"/>
  <c r="F100" i="25"/>
  <c r="F99" i="25"/>
  <c r="F98" i="25"/>
  <c r="D85" i="25"/>
  <c r="C85" i="25"/>
  <c r="D84" i="25"/>
  <c r="D79" i="25"/>
  <c r="D73" i="25"/>
  <c r="E72" i="25"/>
  <c r="E69" i="25"/>
  <c r="D69" i="25"/>
  <c r="C66" i="25"/>
  <c r="D65" i="25"/>
  <c r="E64" i="25"/>
  <c r="B57" i="25"/>
  <c r="P47" i="25"/>
  <c r="H35" i="25" s="1"/>
  <c r="P45" i="25"/>
  <c r="H81" i="25" s="1"/>
  <c r="H75" i="25"/>
  <c r="BF149" i="3"/>
  <c r="BF148" i="3"/>
  <c r="BF147" i="3"/>
  <c r="BF146" i="3"/>
  <c r="BF145" i="3"/>
  <c r="BF144" i="3"/>
  <c r="BF143" i="3"/>
  <c r="O50" i="4"/>
  <c r="F94" i="25" l="1"/>
  <c r="E94" i="25"/>
  <c r="D94" i="25"/>
  <c r="E85" i="25"/>
  <c r="F49" i="25"/>
  <c r="H15" i="25"/>
  <c r="H22" i="26"/>
  <c r="H62" i="26" s="1"/>
  <c r="H105" i="25"/>
  <c r="H36" i="25" s="1"/>
  <c r="H70" i="25"/>
  <c r="H8" i="25" s="1"/>
  <c r="H95" i="25" l="1"/>
  <c r="H22" i="25" s="1"/>
  <c r="H20" i="25" s="1"/>
  <c r="N3" i="25"/>
  <c r="L50" i="4" s="1"/>
  <c r="C49" i="25"/>
  <c r="E107" i="25"/>
  <c r="F107" i="25" s="1"/>
  <c r="G108" i="25"/>
  <c r="F108" i="25"/>
  <c r="G107" i="25"/>
  <c r="C108" i="25"/>
  <c r="C107" i="25"/>
  <c r="E47" i="26"/>
  <c r="N3" i="26" s="1"/>
  <c r="L55" i="4" s="1"/>
  <c r="C56" i="14"/>
  <c r="C55" i="7"/>
  <c r="C51" i="12"/>
  <c r="N17" i="12"/>
  <c r="C52" i="12" s="1"/>
  <c r="C47" i="26" l="1"/>
  <c r="F85" i="26"/>
  <c r="G84" i="26"/>
  <c r="G85" i="26"/>
  <c r="G110" i="25"/>
  <c r="C84" i="26"/>
  <c r="C85" i="26"/>
  <c r="H42" i="26"/>
  <c r="G82" i="26"/>
  <c r="E84" i="26"/>
  <c r="F84" i="26" s="1"/>
  <c r="F52" i="12"/>
  <c r="C53" i="24"/>
  <c r="C36" i="24"/>
  <c r="E31" i="24"/>
  <c r="B24" i="24"/>
  <c r="B23" i="24"/>
  <c r="B22" i="24"/>
  <c r="N18" i="24"/>
  <c r="N17" i="24"/>
  <c r="N16" i="24"/>
  <c r="N15" i="24"/>
  <c r="N14" i="24"/>
  <c r="N13" i="24"/>
  <c r="O12" i="24"/>
  <c r="G4" i="24"/>
  <c r="L14" i="24" s="1"/>
  <c r="C52" i="24"/>
  <c r="H44" i="24"/>
  <c r="G44" i="24"/>
  <c r="F44" i="24"/>
  <c r="E44" i="24"/>
  <c r="D44" i="24"/>
  <c r="P15" i="24" s="1"/>
  <c r="C44" i="24"/>
  <c r="H43" i="24"/>
  <c r="G43" i="24"/>
  <c r="F43" i="24"/>
  <c r="E43" i="24"/>
  <c r="D43" i="24"/>
  <c r="P14" i="24" s="1"/>
  <c r="C43" i="24"/>
  <c r="H42" i="24"/>
  <c r="G42" i="24"/>
  <c r="F42" i="24"/>
  <c r="L16" i="24" s="1"/>
  <c r="E42" i="24"/>
  <c r="D42" i="24"/>
  <c r="P13" i="24" s="1"/>
  <c r="C42" i="24"/>
  <c r="E38" i="24"/>
  <c r="C34" i="24"/>
  <c r="B27" i="24"/>
  <c r="L18" i="24"/>
  <c r="F12" i="24"/>
  <c r="D12" i="24"/>
  <c r="H6" i="24"/>
  <c r="E39" i="24" s="1"/>
  <c r="E31" i="22"/>
  <c r="B24" i="22"/>
  <c r="B23" i="22"/>
  <c r="B22" i="22"/>
  <c r="D12" i="22"/>
  <c r="D41" i="22" s="1"/>
  <c r="D6" i="22"/>
  <c r="E42" i="22"/>
  <c r="D42" i="22"/>
  <c r="C42" i="22"/>
  <c r="E41" i="22"/>
  <c r="D40" i="22"/>
  <c r="D39" i="22"/>
  <c r="C36" i="22"/>
  <c r="B27" i="22"/>
  <c r="F19" i="22"/>
  <c r="E31" i="23"/>
  <c r="B24" i="23"/>
  <c r="B23" i="23"/>
  <c r="B22" i="23"/>
  <c r="D13" i="23"/>
  <c r="D45" i="23" s="1"/>
  <c r="D12" i="23"/>
  <c r="D44" i="23" s="1"/>
  <c r="D11" i="23"/>
  <c r="D43" i="23" s="1"/>
  <c r="D10" i="23"/>
  <c r="D42" i="23" s="1"/>
  <c r="D9" i="23"/>
  <c r="D41" i="23" s="1"/>
  <c r="E45" i="23"/>
  <c r="E44" i="23"/>
  <c r="E43" i="23"/>
  <c r="E42" i="23"/>
  <c r="E41" i="23"/>
  <c r="D40" i="23"/>
  <c r="D39" i="23"/>
  <c r="D38" i="23"/>
  <c r="D37" i="23"/>
  <c r="D36" i="23"/>
  <c r="B27" i="23"/>
  <c r="E31" i="21"/>
  <c r="B24" i="21"/>
  <c r="B23" i="21"/>
  <c r="B22" i="21"/>
  <c r="D12" i="21"/>
  <c r="D10" i="21"/>
  <c r="D40" i="21" s="1"/>
  <c r="E42" i="21"/>
  <c r="D42" i="21"/>
  <c r="C42" i="21"/>
  <c r="E41" i="21"/>
  <c r="E40" i="21"/>
  <c r="D39" i="21"/>
  <c r="D38" i="21"/>
  <c r="C36" i="21"/>
  <c r="B27" i="21"/>
  <c r="F19" i="21"/>
  <c r="G4" i="21"/>
  <c r="E31" i="20"/>
  <c r="B24" i="20"/>
  <c r="B23" i="20"/>
  <c r="B22" i="20"/>
  <c r="B27" i="20"/>
  <c r="M10" i="20"/>
  <c r="H10" i="20"/>
  <c r="M9" i="20"/>
  <c r="H9" i="20"/>
  <c r="M8" i="20"/>
  <c r="H8" i="20"/>
  <c r="M7" i="20"/>
  <c r="H7" i="20"/>
  <c r="M6" i="20"/>
  <c r="H6" i="20"/>
  <c r="C33" i="19"/>
  <c r="E31" i="19"/>
  <c r="B24" i="19"/>
  <c r="B23" i="19"/>
  <c r="B22" i="19"/>
  <c r="M15" i="19"/>
  <c r="M14" i="19"/>
  <c r="M13" i="19"/>
  <c r="D39" i="19"/>
  <c r="D37" i="19"/>
  <c r="B27" i="19"/>
  <c r="H12" i="19"/>
  <c r="F19" i="19"/>
  <c r="E35" i="18"/>
  <c r="B24" i="18"/>
  <c r="B23" i="18"/>
  <c r="B22" i="18"/>
  <c r="M10" i="18"/>
  <c r="M15" i="18" s="1"/>
  <c r="H5" i="18"/>
  <c r="C32" i="18" s="1"/>
  <c r="D41" i="18"/>
  <c r="D40" i="18"/>
  <c r="C33" i="18"/>
  <c r="C31" i="18"/>
  <c r="B27" i="18"/>
  <c r="F19" i="18"/>
  <c r="N3" i="18" s="1"/>
  <c r="L34" i="4" s="1"/>
  <c r="E32" i="17"/>
  <c r="B24" i="17"/>
  <c r="B23" i="17"/>
  <c r="B22" i="17"/>
  <c r="D9" i="17"/>
  <c r="D40" i="17" s="1"/>
  <c r="E41" i="17"/>
  <c r="D41" i="17"/>
  <c r="E40" i="17"/>
  <c r="D38" i="17"/>
  <c r="C11" i="17"/>
  <c r="O34" i="4"/>
  <c r="S50" i="4"/>
  <c r="O37" i="4"/>
  <c r="O36" i="4"/>
  <c r="O38" i="4"/>
  <c r="O35" i="4"/>
  <c r="O40" i="4"/>
  <c r="O47" i="4"/>
  <c r="G19" i="21" l="1"/>
  <c r="F43" i="21"/>
  <c r="N3" i="22"/>
  <c r="L40" i="4" s="1"/>
  <c r="F43" i="22"/>
  <c r="D38" i="22"/>
  <c r="N3" i="19"/>
  <c r="L35" i="4" s="1"/>
  <c r="G60" i="19"/>
  <c r="N3" i="21"/>
  <c r="G60" i="21"/>
  <c r="G49" i="25"/>
  <c r="R14" i="24"/>
  <c r="F19" i="20"/>
  <c r="G87" i="26"/>
  <c r="R15" i="24"/>
  <c r="T15" i="24" s="1"/>
  <c r="L17" i="24"/>
  <c r="R13" i="24"/>
  <c r="F46" i="24"/>
  <c r="G47" i="26"/>
  <c r="D41" i="21"/>
  <c r="F45" i="21"/>
  <c r="C45" i="21"/>
  <c r="D43" i="20"/>
  <c r="F44" i="19"/>
  <c r="D42" i="17"/>
  <c r="E42" i="17"/>
  <c r="C14" i="17"/>
  <c r="I9" i="17"/>
  <c r="C34" i="17"/>
  <c r="B27" i="17"/>
  <c r="M11" i="17"/>
  <c r="O11" i="17"/>
  <c r="Q11" i="17"/>
  <c r="N12" i="17"/>
  <c r="P12" i="17"/>
  <c r="H13" i="17"/>
  <c r="N13" i="17"/>
  <c r="P13" i="17"/>
  <c r="P16" i="24"/>
  <c r="N11" i="17"/>
  <c r="P11" i="17"/>
  <c r="M12" i="17"/>
  <c r="O12" i="17"/>
  <c r="Q12" i="17"/>
  <c r="M13" i="17"/>
  <c r="O13" i="17"/>
  <c r="Q13" i="17"/>
  <c r="C30" i="17"/>
  <c r="L13" i="24"/>
  <c r="L15" i="24"/>
  <c r="T14" i="24"/>
  <c r="C46" i="24"/>
  <c r="E46" i="24"/>
  <c r="E47" i="24"/>
  <c r="H12" i="24"/>
  <c r="F19" i="24"/>
  <c r="C45" i="22"/>
  <c r="C55" i="22"/>
  <c r="C57" i="22"/>
  <c r="G57" i="22"/>
  <c r="C19" i="22"/>
  <c r="F45" i="22"/>
  <c r="E55" i="22"/>
  <c r="F55" i="22" s="1"/>
  <c r="G55" i="22"/>
  <c r="F57" i="22"/>
  <c r="F19" i="23"/>
  <c r="F48" i="23" s="1"/>
  <c r="C56" i="21"/>
  <c r="C57" i="21"/>
  <c r="G57" i="21"/>
  <c r="C19" i="21"/>
  <c r="E56" i="21"/>
  <c r="G56" i="21"/>
  <c r="F57" i="21"/>
  <c r="C39" i="20"/>
  <c r="E39" i="20"/>
  <c r="H39" i="20"/>
  <c r="D40" i="20"/>
  <c r="C41" i="20"/>
  <c r="E41" i="20"/>
  <c r="H41" i="20"/>
  <c r="D42" i="20"/>
  <c r="C43" i="20"/>
  <c r="E43" i="20"/>
  <c r="H43" i="20"/>
  <c r="D39" i="20"/>
  <c r="C40" i="20"/>
  <c r="E40" i="20"/>
  <c r="H40" i="20"/>
  <c r="D41" i="20"/>
  <c r="C42" i="20"/>
  <c r="E42" i="20"/>
  <c r="H42" i="20"/>
  <c r="C19" i="19"/>
  <c r="C56" i="19"/>
  <c r="C57" i="19"/>
  <c r="G57" i="19"/>
  <c r="E56" i="19"/>
  <c r="G56" i="19"/>
  <c r="F57" i="19"/>
  <c r="M12" i="18"/>
  <c r="M14" i="18"/>
  <c r="C37" i="18"/>
  <c r="M13" i="18"/>
  <c r="C19" i="18"/>
  <c r="C56" i="18"/>
  <c r="C57" i="18"/>
  <c r="G57" i="18"/>
  <c r="E56" i="18"/>
  <c r="G56" i="18"/>
  <c r="F57" i="18"/>
  <c r="Q17" i="17"/>
  <c r="K11" i="17"/>
  <c r="G7" i="17"/>
  <c r="S55" i="4"/>
  <c r="O33" i="4"/>
  <c r="S37" i="4"/>
  <c r="S35" i="4"/>
  <c r="L37" i="4" l="1"/>
  <c r="G60" i="22"/>
  <c r="N3" i="24"/>
  <c r="L47" i="4" s="1"/>
  <c r="G60" i="20"/>
  <c r="N3" i="20"/>
  <c r="L36" i="4" s="1"/>
  <c r="N3" i="23"/>
  <c r="L38" i="4" s="1"/>
  <c r="R16" i="24"/>
  <c r="T16" i="24" s="1"/>
  <c r="T13" i="24"/>
  <c r="F45" i="18"/>
  <c r="F56" i="18" s="1"/>
  <c r="F59" i="24"/>
  <c r="G57" i="24"/>
  <c r="E57" i="24"/>
  <c r="F47" i="24"/>
  <c r="C19" i="24"/>
  <c r="G59" i="24"/>
  <c r="C59" i="24"/>
  <c r="C57" i="24"/>
  <c r="F57" i="23"/>
  <c r="G55" i="23"/>
  <c r="E55" i="23"/>
  <c r="G57" i="23"/>
  <c r="C57" i="23"/>
  <c r="C55" i="23"/>
  <c r="C19" i="23"/>
  <c r="F56" i="21"/>
  <c r="F57" i="20"/>
  <c r="G56" i="20"/>
  <c r="E56" i="20"/>
  <c r="F39" i="20"/>
  <c r="C19" i="20"/>
  <c r="G57" i="20"/>
  <c r="C57" i="20"/>
  <c r="C56" i="20"/>
  <c r="C12" i="20"/>
  <c r="F41" i="20"/>
  <c r="F42" i="20"/>
  <c r="F43" i="20"/>
  <c r="F40" i="20"/>
  <c r="F56" i="19"/>
  <c r="N17" i="17"/>
  <c r="M16" i="17"/>
  <c r="N15" i="17"/>
  <c r="M17" i="17"/>
  <c r="N16" i="17"/>
  <c r="M15" i="17"/>
  <c r="D43" i="17"/>
  <c r="E43" i="17"/>
  <c r="C43" i="17"/>
  <c r="F19" i="17"/>
  <c r="N3" i="17" s="1"/>
  <c r="L33" i="4" s="1"/>
  <c r="S36" i="4"/>
  <c r="S40" i="4"/>
  <c r="L8" i="24" l="1"/>
  <c r="D45" i="24"/>
  <c r="D46" i="24" s="1"/>
  <c r="C45" i="24"/>
  <c r="E45" i="24"/>
  <c r="L9" i="24"/>
  <c r="L10" i="24"/>
  <c r="F55" i="24" s="1"/>
  <c r="G60" i="18"/>
  <c r="P15" i="17"/>
  <c r="P16" i="17" s="1"/>
  <c r="G19" i="19"/>
  <c r="G19" i="22"/>
  <c r="F46" i="20"/>
  <c r="F56" i="20" s="1"/>
  <c r="F55" i="23"/>
  <c r="G60" i="23" s="1"/>
  <c r="F57" i="17"/>
  <c r="G56" i="17"/>
  <c r="E56" i="17"/>
  <c r="C19" i="17"/>
  <c r="G57" i="17"/>
  <c r="C57" i="17"/>
  <c r="C56" i="17"/>
  <c r="S38" i="4"/>
  <c r="F49" i="24"/>
  <c r="S34" i="4"/>
  <c r="G19" i="18" l="1"/>
  <c r="F57" i="24"/>
  <c r="G62" i="24" s="1"/>
  <c r="G19" i="24" s="1"/>
  <c r="P17" i="17"/>
  <c r="S17" i="17" s="1"/>
  <c r="D39" i="17" s="1"/>
  <c r="F46" i="17" s="1"/>
  <c r="F56" i="17" s="1"/>
  <c r="G60" i="17" s="1"/>
  <c r="G19" i="23"/>
  <c r="G19" i="20"/>
  <c r="S33" i="4"/>
  <c r="S47" i="4"/>
  <c r="G19" i="17" l="1"/>
  <c r="F40" i="15" l="1"/>
  <c r="G27" i="15" s="1"/>
  <c r="F70" i="15" s="1"/>
  <c r="B35" i="15"/>
  <c r="N3" i="15"/>
  <c r="L32" i="4" s="1"/>
  <c r="F77" i="15"/>
  <c r="F75" i="15"/>
  <c r="C75" i="15"/>
  <c r="B32" i="15"/>
  <c r="B31" i="15"/>
  <c r="B30" i="15"/>
  <c r="C13" i="14"/>
  <c r="D13" i="14" s="1"/>
  <c r="G38" i="14"/>
  <c r="H38" i="14"/>
  <c r="G39" i="14"/>
  <c r="H39" i="14"/>
  <c r="G40" i="14"/>
  <c r="H40" i="14"/>
  <c r="G41" i="14"/>
  <c r="H41" i="14"/>
  <c r="G42" i="14"/>
  <c r="H42" i="14"/>
  <c r="H37" i="14"/>
  <c r="G37" i="14"/>
  <c r="D38" i="14"/>
  <c r="D39" i="14"/>
  <c r="D40" i="14"/>
  <c r="D41" i="14"/>
  <c r="D42" i="14"/>
  <c r="D37" i="14"/>
  <c r="C38" i="14"/>
  <c r="C39" i="14"/>
  <c r="C40" i="14"/>
  <c r="C41" i="14"/>
  <c r="C42" i="14"/>
  <c r="C37" i="14"/>
  <c r="N17" i="14"/>
  <c r="G159" i="3"/>
  <c r="G160" i="3"/>
  <c r="G161" i="3"/>
  <c r="G162" i="3"/>
  <c r="G163" i="3"/>
  <c r="G164" i="3"/>
  <c r="G165" i="3"/>
  <c r="G166" i="3"/>
  <c r="G167" i="3"/>
  <c r="G168" i="3"/>
  <c r="G169" i="3"/>
  <c r="G170" i="3"/>
  <c r="G158" i="3"/>
  <c r="M8" i="14"/>
  <c r="M9" i="14"/>
  <c r="M10" i="14"/>
  <c r="M11" i="14"/>
  <c r="M12" i="14"/>
  <c r="M7" i="14"/>
  <c r="K8" i="14"/>
  <c r="L8" i="14"/>
  <c r="K9" i="14"/>
  <c r="L9" i="14"/>
  <c r="K10" i="14"/>
  <c r="L10" i="14"/>
  <c r="K11" i="14"/>
  <c r="L11" i="14"/>
  <c r="K12" i="14"/>
  <c r="L12" i="14"/>
  <c r="L7" i="14"/>
  <c r="K7" i="14"/>
  <c r="F62" i="14"/>
  <c r="C62" i="14"/>
  <c r="F61" i="14"/>
  <c r="C61" i="14"/>
  <c r="F59" i="14"/>
  <c r="C59" i="14"/>
  <c r="E31" i="14"/>
  <c r="B27" i="14"/>
  <c r="B22" i="14"/>
  <c r="C38" i="13"/>
  <c r="E39" i="13"/>
  <c r="F39" i="13"/>
  <c r="E40" i="13"/>
  <c r="F40" i="13"/>
  <c r="F38" i="13"/>
  <c r="G38" i="13"/>
  <c r="G39" i="13"/>
  <c r="G40" i="13"/>
  <c r="E38" i="13"/>
  <c r="D38" i="13"/>
  <c r="D39" i="13"/>
  <c r="D40" i="13"/>
  <c r="C40" i="13"/>
  <c r="C39" i="13"/>
  <c r="M32" i="4"/>
  <c r="N32" i="4" s="1"/>
  <c r="O52" i="4"/>
  <c r="F57" i="14" l="1"/>
  <c r="C27" i="15"/>
  <c r="C43" i="14"/>
  <c r="C57" i="14"/>
  <c r="N12" i="14"/>
  <c r="N11" i="14"/>
  <c r="N10" i="14"/>
  <c r="N9" i="14"/>
  <c r="N8" i="14"/>
  <c r="N7" i="14"/>
  <c r="C19" i="14"/>
  <c r="C41" i="13"/>
  <c r="G46" i="12"/>
  <c r="G45" i="12"/>
  <c r="G44" i="12"/>
  <c r="F46" i="12"/>
  <c r="F45" i="12"/>
  <c r="F44" i="12"/>
  <c r="E44" i="12"/>
  <c r="D46" i="12"/>
  <c r="D45" i="12"/>
  <c r="D44" i="12"/>
  <c r="B27" i="13"/>
  <c r="N15" i="13"/>
  <c r="M10" i="13"/>
  <c r="M11" i="13"/>
  <c r="M9" i="13"/>
  <c r="L10" i="13"/>
  <c r="L11" i="13"/>
  <c r="L9" i="13"/>
  <c r="K10" i="13"/>
  <c r="K11" i="13"/>
  <c r="K9" i="13"/>
  <c r="F10" i="13"/>
  <c r="F11" i="13"/>
  <c r="F9" i="13"/>
  <c r="C12" i="13"/>
  <c r="F19" i="13" s="1"/>
  <c r="O49" i="4"/>
  <c r="G53" i="13" l="1"/>
  <c r="N3" i="13"/>
  <c r="L49" i="4" s="1"/>
  <c r="F48" i="13"/>
  <c r="N9" i="13"/>
  <c r="N13" i="14"/>
  <c r="C50" i="13"/>
  <c r="F50" i="13"/>
  <c r="N11" i="13"/>
  <c r="N10" i="13"/>
  <c r="F55" i="13"/>
  <c r="C55" i="13"/>
  <c r="F54" i="13"/>
  <c r="C54" i="13"/>
  <c r="F52" i="13"/>
  <c r="C52" i="13"/>
  <c r="E31" i="13"/>
  <c r="B24" i="13"/>
  <c r="B23" i="13"/>
  <c r="F19" i="12"/>
  <c r="N3" i="12" s="1"/>
  <c r="L48" i="4" s="1"/>
  <c r="S49" i="4"/>
  <c r="G76" i="15" l="1"/>
  <c r="N15" i="14"/>
  <c r="N12" i="13"/>
  <c r="N17" i="13" s="1"/>
  <c r="C19" i="13"/>
  <c r="C46" i="12"/>
  <c r="C45" i="12"/>
  <c r="C44" i="12"/>
  <c r="E36" i="12"/>
  <c r="H14" i="12"/>
  <c r="E38" i="12" s="1"/>
  <c r="K12" i="12"/>
  <c r="K13" i="12"/>
  <c r="K11" i="12"/>
  <c r="L12" i="12"/>
  <c r="L13" i="12"/>
  <c r="L11" i="12"/>
  <c r="C14" i="12"/>
  <c r="K5" i="12"/>
  <c r="B27" i="12"/>
  <c r="F57" i="12"/>
  <c r="C57" i="12"/>
  <c r="F56" i="12"/>
  <c r="C56" i="12"/>
  <c r="F54" i="12"/>
  <c r="C54" i="12"/>
  <c r="E31" i="12"/>
  <c r="B24" i="12"/>
  <c r="B23" i="12"/>
  <c r="B22" i="12"/>
  <c r="E44" i="11"/>
  <c r="E43" i="11"/>
  <c r="E42" i="11"/>
  <c r="D44" i="11"/>
  <c r="D43" i="11"/>
  <c r="D42" i="11"/>
  <c r="D41" i="11"/>
  <c r="D45" i="11"/>
  <c r="E42" i="9"/>
  <c r="D42" i="9"/>
  <c r="C42" i="9"/>
  <c r="E41" i="9"/>
  <c r="D41" i="9"/>
  <c r="C41" i="9"/>
  <c r="E40" i="9"/>
  <c r="D40" i="9"/>
  <c r="E41" i="11"/>
  <c r="L16" i="11"/>
  <c r="S32" i="4"/>
  <c r="O48" i="4"/>
  <c r="L7" i="11"/>
  <c r="N13" i="12" l="1"/>
  <c r="N12" i="12"/>
  <c r="N11" i="12"/>
  <c r="F19" i="11"/>
  <c r="N3" i="11" s="1"/>
  <c r="L46" i="4" s="1"/>
  <c r="G6" i="11"/>
  <c r="L6" i="11"/>
  <c r="K7" i="11"/>
  <c r="K6" i="11"/>
  <c r="E45" i="11"/>
  <c r="F55" i="14"/>
  <c r="N16" i="14"/>
  <c r="F56" i="14" s="1"/>
  <c r="D14" i="12"/>
  <c r="D47" i="12" s="1"/>
  <c r="C47" i="12"/>
  <c r="C19" i="12"/>
  <c r="E13" i="11"/>
  <c r="D36" i="11" s="1"/>
  <c r="K12" i="11" l="1"/>
  <c r="L12" i="11" s="1"/>
  <c r="F49" i="11" s="1"/>
  <c r="G60" i="14"/>
  <c r="N18" i="14"/>
  <c r="G19" i="14" s="1"/>
  <c r="N14" i="12"/>
  <c r="N16" i="12" s="1"/>
  <c r="G19" i="13"/>
  <c r="F56" i="11"/>
  <c r="C56" i="11"/>
  <c r="F55" i="11"/>
  <c r="C55" i="11"/>
  <c r="F53" i="11"/>
  <c r="C53" i="11"/>
  <c r="F46" i="11"/>
  <c r="D46" i="11"/>
  <c r="E31" i="11"/>
  <c r="B27" i="11"/>
  <c r="B24" i="11"/>
  <c r="B23" i="11"/>
  <c r="B22" i="11"/>
  <c r="C51" i="11"/>
  <c r="B27" i="10"/>
  <c r="F39" i="10"/>
  <c r="F40" i="10"/>
  <c r="F41" i="10"/>
  <c r="F42" i="10"/>
  <c r="F43" i="10"/>
  <c r="F44" i="10"/>
  <c r="F45" i="10"/>
  <c r="F38" i="10"/>
  <c r="C39" i="10"/>
  <c r="C40" i="10"/>
  <c r="C41" i="10"/>
  <c r="C42" i="10"/>
  <c r="C43" i="10"/>
  <c r="C44" i="10"/>
  <c r="C45" i="10"/>
  <c r="C38" i="10"/>
  <c r="D39" i="10"/>
  <c r="D40" i="10"/>
  <c r="D41" i="10"/>
  <c r="D42" i="10"/>
  <c r="D43" i="10"/>
  <c r="D44" i="10"/>
  <c r="D45" i="10"/>
  <c r="D38" i="10"/>
  <c r="E42" i="8"/>
  <c r="E43" i="8"/>
  <c r="E41" i="8"/>
  <c r="C43" i="8"/>
  <c r="C42" i="8"/>
  <c r="D42" i="8"/>
  <c r="D43" i="8"/>
  <c r="D41" i="8"/>
  <c r="C45" i="6"/>
  <c r="F19" i="10"/>
  <c r="N3" i="10" s="1"/>
  <c r="L45" i="4" s="1"/>
  <c r="L16" i="10"/>
  <c r="F51" i="10" s="1"/>
  <c r="D14" i="10"/>
  <c r="K12" i="10"/>
  <c r="L12" i="10" s="1"/>
  <c r="K13" i="10"/>
  <c r="L13" i="10" s="1"/>
  <c r="K7" i="10"/>
  <c r="L7" i="10" s="1"/>
  <c r="K8" i="10"/>
  <c r="L8" i="10" s="1"/>
  <c r="K9" i="10"/>
  <c r="L9" i="10" s="1"/>
  <c r="K10" i="10"/>
  <c r="L10" i="10" s="1"/>
  <c r="K11" i="10"/>
  <c r="L11" i="10" s="1"/>
  <c r="K6" i="10"/>
  <c r="L6" i="10" s="1"/>
  <c r="F56" i="10"/>
  <c r="C56" i="10"/>
  <c r="F55" i="10"/>
  <c r="C55" i="10"/>
  <c r="F53" i="10"/>
  <c r="C53" i="10"/>
  <c r="E31" i="10"/>
  <c r="B24" i="10"/>
  <c r="B23" i="10"/>
  <c r="B22" i="10"/>
  <c r="E37" i="8"/>
  <c r="B27" i="9"/>
  <c r="B27" i="8"/>
  <c r="F54" i="9"/>
  <c r="C54" i="9"/>
  <c r="F53" i="9"/>
  <c r="C53" i="9"/>
  <c r="F51" i="9"/>
  <c r="C51" i="9"/>
  <c r="C48" i="9"/>
  <c r="D43" i="9"/>
  <c r="C40" i="9"/>
  <c r="E36" i="9"/>
  <c r="E35" i="9"/>
  <c r="E31" i="9"/>
  <c r="B24" i="9"/>
  <c r="B23" i="9"/>
  <c r="B22" i="9"/>
  <c r="F19" i="9"/>
  <c r="N15" i="9"/>
  <c r="F48" i="9" s="1"/>
  <c r="K13" i="9"/>
  <c r="D10" i="9"/>
  <c r="C49" i="8"/>
  <c r="E50" i="7"/>
  <c r="E49" i="7"/>
  <c r="E48" i="7"/>
  <c r="D50" i="7"/>
  <c r="D49" i="7"/>
  <c r="D48" i="7"/>
  <c r="C50" i="7"/>
  <c r="C49" i="7"/>
  <c r="C41" i="8"/>
  <c r="E36" i="8"/>
  <c r="E35" i="8"/>
  <c r="F19" i="8"/>
  <c r="N15" i="8"/>
  <c r="F49" i="8" s="1"/>
  <c r="K13" i="8"/>
  <c r="K12" i="8"/>
  <c r="D10" i="8"/>
  <c r="F52" i="8"/>
  <c r="C52" i="8"/>
  <c r="E31" i="8"/>
  <c r="B24" i="8"/>
  <c r="B23" i="8"/>
  <c r="B22" i="8"/>
  <c r="L8" i="8"/>
  <c r="L8" i="9"/>
  <c r="M9" i="9"/>
  <c r="O43" i="4"/>
  <c r="O46" i="4"/>
  <c r="M8" i="8"/>
  <c r="M7" i="8"/>
  <c r="S52" i="4"/>
  <c r="M9" i="8"/>
  <c r="O45" i="4"/>
  <c r="M7" i="9"/>
  <c r="M8" i="9"/>
  <c r="O44" i="4"/>
  <c r="L7" i="9"/>
  <c r="L9" i="8"/>
  <c r="L9" i="9"/>
  <c r="L7" i="8"/>
  <c r="G53" i="8" l="1"/>
  <c r="N3" i="8"/>
  <c r="L43" i="4" s="1"/>
  <c r="G52" i="9"/>
  <c r="N3" i="9"/>
  <c r="L44" i="4" s="1"/>
  <c r="L17" i="11"/>
  <c r="G19" i="11" s="1"/>
  <c r="C19" i="9"/>
  <c r="F47" i="8"/>
  <c r="F50" i="12"/>
  <c r="N18" i="12"/>
  <c r="G19" i="12" s="1"/>
  <c r="F51" i="12"/>
  <c r="D44" i="8"/>
  <c r="C19" i="11"/>
  <c r="F51" i="11"/>
  <c r="G54" i="11" s="1"/>
  <c r="C51" i="10"/>
  <c r="D46" i="10"/>
  <c r="L14" i="10"/>
  <c r="F49" i="10" s="1"/>
  <c r="G54" i="10" s="1"/>
  <c r="C19" i="10"/>
  <c r="N8" i="9"/>
  <c r="N9" i="9"/>
  <c r="N7" i="9"/>
  <c r="N9" i="8"/>
  <c r="N8" i="8"/>
  <c r="N7" i="8"/>
  <c r="C19" i="8"/>
  <c r="E45" i="6"/>
  <c r="C44" i="6"/>
  <c r="C43" i="6"/>
  <c r="D45" i="6"/>
  <c r="E44" i="6"/>
  <c r="E43" i="6"/>
  <c r="D44" i="6"/>
  <c r="D43" i="6"/>
  <c r="C40" i="6"/>
  <c r="F40" i="6"/>
  <c r="E40" i="6"/>
  <c r="C39" i="6"/>
  <c r="F39" i="6"/>
  <c r="E39" i="6"/>
  <c r="C37" i="6"/>
  <c r="F37" i="6"/>
  <c r="E37" i="6"/>
  <c r="F36" i="6"/>
  <c r="C36" i="6"/>
  <c r="E36" i="6"/>
  <c r="C53" i="6"/>
  <c r="F53" i="6"/>
  <c r="E49" i="6"/>
  <c r="S45" i="4"/>
  <c r="S44" i="4"/>
  <c r="S46" i="4"/>
  <c r="S43" i="4"/>
  <c r="G55" i="12" l="1"/>
  <c r="L17" i="10"/>
  <c r="G19" i="10" s="1"/>
  <c r="N10" i="9"/>
  <c r="N16" i="9" s="1"/>
  <c r="F46" i="9" s="1"/>
  <c r="N10" i="8"/>
  <c r="N16" i="8" s="1"/>
  <c r="D46" i="6"/>
  <c r="B27" i="6"/>
  <c r="F19" i="6"/>
  <c r="N3" i="6" s="1"/>
  <c r="L42" i="4" s="1"/>
  <c r="N15" i="6"/>
  <c r="N9" i="6"/>
  <c r="L13" i="6"/>
  <c r="N13" i="6" s="1"/>
  <c r="L12" i="6"/>
  <c r="N12" i="6" s="1"/>
  <c r="L11" i="6"/>
  <c r="N11" i="6" s="1"/>
  <c r="S48" i="4"/>
  <c r="O42" i="4"/>
  <c r="M33" i="4"/>
  <c r="G19" i="9" l="1"/>
  <c r="G19" i="8"/>
  <c r="K16" i="6"/>
  <c r="D14" i="6"/>
  <c r="F56" i="7"/>
  <c r="C56" i="7"/>
  <c r="D51" i="7"/>
  <c r="C48" i="7"/>
  <c r="E43" i="7"/>
  <c r="E41" i="7"/>
  <c r="E40" i="7"/>
  <c r="E31" i="7"/>
  <c r="B27" i="7"/>
  <c r="B24" i="7"/>
  <c r="B23" i="7"/>
  <c r="B22" i="7"/>
  <c r="D13" i="7"/>
  <c r="K12" i="7"/>
  <c r="L12" i="7" s="1"/>
  <c r="K11" i="7"/>
  <c r="L11" i="7" s="1"/>
  <c r="K10" i="7"/>
  <c r="K6" i="7"/>
  <c r="M10" i="7"/>
  <c r="O41" i="4"/>
  <c r="M34" i="4"/>
  <c r="N33" i="4"/>
  <c r="C19" i="7" l="1"/>
  <c r="L10" i="7"/>
  <c r="N14" i="6"/>
  <c r="E35" i="6"/>
  <c r="AD70" i="3"/>
  <c r="AE70" i="3"/>
  <c r="AF70" i="3"/>
  <c r="AD71" i="3"/>
  <c r="AE71" i="3"/>
  <c r="AF71" i="3"/>
  <c r="AD72" i="3"/>
  <c r="AE72" i="3"/>
  <c r="AF72" i="3"/>
  <c r="AD73" i="3"/>
  <c r="AE73" i="3"/>
  <c r="AF73" i="3"/>
  <c r="AD74" i="3"/>
  <c r="AE74" i="3"/>
  <c r="AF74" i="3"/>
  <c r="AD75" i="3"/>
  <c r="AE75" i="3"/>
  <c r="AF75" i="3"/>
  <c r="AD76" i="3"/>
  <c r="AE76" i="3"/>
  <c r="AF76" i="3"/>
  <c r="AD77" i="3"/>
  <c r="AE77" i="3"/>
  <c r="AF77" i="3"/>
  <c r="AD78" i="3"/>
  <c r="AE78" i="3"/>
  <c r="AF78" i="3"/>
  <c r="AC71" i="3"/>
  <c r="AC72" i="3"/>
  <c r="AC73" i="3"/>
  <c r="AC74" i="3"/>
  <c r="AC75" i="3"/>
  <c r="AC76" i="3"/>
  <c r="AC77" i="3"/>
  <c r="AC78" i="3"/>
  <c r="AC70" i="3"/>
  <c r="Q70" i="3"/>
  <c r="Q71" i="3"/>
  <c r="Q72" i="3"/>
  <c r="Q73" i="3"/>
  <c r="Q74" i="3"/>
  <c r="Q75" i="3"/>
  <c r="Q76" i="3"/>
  <c r="Q77" i="3"/>
  <c r="Q78" i="3"/>
  <c r="O70" i="3"/>
  <c r="P70" i="3"/>
  <c r="O71" i="3"/>
  <c r="P71" i="3"/>
  <c r="O72" i="3"/>
  <c r="P72" i="3"/>
  <c r="O73" i="3"/>
  <c r="P73" i="3"/>
  <c r="O74" i="3"/>
  <c r="P74" i="3"/>
  <c r="O75" i="3"/>
  <c r="P75" i="3"/>
  <c r="O76" i="3"/>
  <c r="P76" i="3"/>
  <c r="O77" i="3"/>
  <c r="P77" i="3"/>
  <c r="O78" i="3"/>
  <c r="P78" i="3"/>
  <c r="N71" i="3"/>
  <c r="N72" i="3"/>
  <c r="N73" i="3"/>
  <c r="N74" i="3"/>
  <c r="N75" i="3"/>
  <c r="N76" i="3"/>
  <c r="N77" i="3"/>
  <c r="N78" i="3"/>
  <c r="N70" i="3"/>
  <c r="E31" i="6"/>
  <c r="B24" i="6"/>
  <c r="B23" i="6"/>
  <c r="B22" i="6"/>
  <c r="N34" i="4"/>
  <c r="N12" i="7"/>
  <c r="M11" i="7"/>
  <c r="M35" i="4"/>
  <c r="N10" i="7"/>
  <c r="M12" i="7"/>
  <c r="N11" i="7"/>
  <c r="O11" i="7" l="1"/>
  <c r="C55" i="8"/>
  <c r="F55" i="8"/>
  <c r="C54" i="8"/>
  <c r="F54" i="8"/>
  <c r="N16" i="6"/>
  <c r="G19" i="6" s="1"/>
  <c r="F52" i="6"/>
  <c r="O12" i="7"/>
  <c r="O10" i="7"/>
  <c r="M36" i="4"/>
  <c r="N35" i="4"/>
  <c r="O13" i="7" l="1"/>
  <c r="O15" i="7" s="1"/>
  <c r="G56" i="6"/>
  <c r="C19" i="6"/>
  <c r="N36" i="4"/>
  <c r="S42" i="4"/>
  <c r="O16" i="7" l="1"/>
  <c r="O14" i="7"/>
  <c r="F55" i="7" s="1"/>
  <c r="F54" i="7"/>
  <c r="M37" i="4"/>
  <c r="N37" i="4" s="1"/>
  <c r="F59" i="7" l="1"/>
  <c r="Q17" i="7"/>
  <c r="C34" i="7" s="1"/>
  <c r="O17" i="7"/>
  <c r="G19" i="7" s="1"/>
  <c r="C59" i="7"/>
  <c r="C58" i="7"/>
  <c r="F58" i="7"/>
  <c r="M38" i="4"/>
  <c r="N38" i="4"/>
  <c r="G61" i="7" l="1"/>
  <c r="B24" i="4"/>
  <c r="B23" i="4"/>
  <c r="S41" i="4"/>
  <c r="M39" i="4"/>
  <c r="N39" i="4"/>
  <c r="S58" i="4" l="1"/>
  <c r="B22" i="4"/>
  <c r="M40" i="4"/>
  <c r="N40" i="4" s="1"/>
  <c r="M41" i="4"/>
  <c r="N41" i="4"/>
  <c r="M42" i="4"/>
  <c r="N42" i="4" s="1"/>
  <c r="M43" i="4"/>
  <c r="N43" i="4" s="1"/>
  <c r="M44" i="4"/>
  <c r="N44" i="4" s="1"/>
  <c r="M45" i="4"/>
  <c r="N45" i="4" s="1"/>
  <c r="M46" i="4"/>
  <c r="N46" i="4" s="1"/>
  <c r="M47" i="4"/>
  <c r="N47" i="4" s="1"/>
  <c r="M48" i="4"/>
  <c r="N48" i="4" s="1"/>
  <c r="M49" i="4"/>
  <c r="N49" i="4" s="1"/>
  <c r="M50" i="4"/>
  <c r="N50" i="4"/>
  <c r="M51" i="4"/>
  <c r="N51" i="4"/>
  <c r="M52" i="4"/>
  <c r="N52" i="4"/>
  <c r="M53" i="4"/>
  <c r="M54" i="4"/>
  <c r="N53" i="4"/>
  <c r="N54" i="4"/>
  <c r="M55" i="4"/>
  <c r="N55" i="4"/>
  <c r="M56" i="4"/>
  <c r="N56" i="4" s="1"/>
  <c r="G54" i="4" l="1"/>
  <c r="G48" i="4"/>
  <c r="H40" i="4"/>
  <c r="C58" i="4"/>
  <c r="M58" i="4"/>
  <c r="B58" i="4"/>
  <c r="C64" i="4"/>
  <c r="G32" i="4"/>
  <c r="B38" i="4"/>
  <c r="B40" i="4"/>
  <c r="G38" i="4"/>
  <c r="B59" i="4"/>
  <c r="G68" i="4"/>
  <c r="C68" i="4"/>
  <c r="H60" i="4"/>
  <c r="C54" i="4"/>
  <c r="G39" i="4"/>
  <c r="C34" i="4"/>
  <c r="C50" i="4"/>
  <c r="C42" i="4"/>
  <c r="H43" i="4"/>
  <c r="H57" i="4"/>
  <c r="H58" i="4"/>
  <c r="G53" i="4"/>
  <c r="G56" i="4"/>
  <c r="B43" i="4"/>
  <c r="C32" i="4"/>
  <c r="H34" i="4"/>
  <c r="H61" i="4"/>
  <c r="G58" i="4"/>
  <c r="H42" i="4"/>
  <c r="G35" i="4"/>
  <c r="B61" i="4"/>
  <c r="H49" i="4"/>
  <c r="G52" i="4"/>
  <c r="C56" i="4"/>
  <c r="H52" i="4"/>
  <c r="B49" i="4"/>
  <c r="G49" i="4"/>
  <c r="C36" i="4"/>
  <c r="G36" i="4"/>
  <c r="G33" i="4"/>
  <c r="G59" i="4"/>
  <c r="C61" i="4"/>
  <c r="B51" i="4"/>
  <c r="G34" i="4"/>
  <c r="H44" i="4"/>
  <c r="C48" i="4"/>
  <c r="B60" i="4"/>
  <c r="H56" i="4"/>
  <c r="B56" i="4"/>
  <c r="H62" i="4"/>
  <c r="H36" i="4"/>
  <c r="H59" i="4"/>
  <c r="G51" i="4"/>
  <c r="G40" i="4"/>
  <c r="G64" i="4"/>
  <c r="C59" i="4"/>
  <c r="C52" i="4"/>
  <c r="H32" i="4"/>
  <c r="C37" i="4"/>
  <c r="G50" i="4"/>
  <c r="H50" i="4"/>
  <c r="B47" i="4"/>
  <c r="B42" i="4"/>
  <c r="B54" i="4"/>
  <c r="H47" i="4"/>
  <c r="B55" i="4"/>
  <c r="B35" i="4"/>
  <c r="C41" i="4"/>
  <c r="C47" i="4"/>
  <c r="C44" i="4"/>
  <c r="G57" i="4"/>
  <c r="G62" i="4"/>
  <c r="G45" i="4"/>
  <c r="C43" i="4"/>
  <c r="C40" i="4"/>
  <c r="B53" i="4"/>
  <c r="G47" i="4"/>
  <c r="B34" i="4"/>
  <c r="B62" i="4"/>
  <c r="G60" i="4"/>
  <c r="B39" i="4"/>
  <c r="B46" i="4"/>
  <c r="B50" i="4"/>
  <c r="B37" i="4"/>
  <c r="C62" i="4"/>
  <c r="B52" i="4"/>
  <c r="H38" i="4"/>
  <c r="B48" i="4"/>
  <c r="C53" i="4"/>
  <c r="C55" i="4"/>
  <c r="H51" i="4"/>
  <c r="C57" i="4"/>
  <c r="B33" i="4"/>
  <c r="C38" i="4"/>
  <c r="H46" i="4"/>
  <c r="G61" i="4"/>
  <c r="H41" i="4"/>
  <c r="G43" i="4"/>
  <c r="C45" i="4"/>
  <c r="C39" i="4"/>
  <c r="C35" i="4"/>
  <c r="H35" i="4"/>
  <c r="H33" i="4"/>
  <c r="C49" i="4"/>
  <c r="B41" i="4"/>
  <c r="H37" i="4"/>
  <c r="B57" i="4"/>
  <c r="G42" i="4"/>
  <c r="B36" i="4"/>
  <c r="G44" i="4"/>
  <c r="B32" i="4"/>
  <c r="G55" i="4"/>
  <c r="H55" i="4"/>
  <c r="G41" i="4"/>
  <c r="C33" i="4"/>
  <c r="C51" i="4"/>
  <c r="C46" i="4"/>
  <c r="H48" i="4"/>
  <c r="H54" i="4"/>
  <c r="H39" i="4"/>
  <c r="H53" i="4"/>
  <c r="C63" i="4"/>
  <c r="B44" i="4"/>
  <c r="B45" i="4"/>
  <c r="G37" i="4"/>
  <c r="G46" i="4"/>
  <c r="H45" i="4"/>
  <c r="C60" i="4"/>
  <c r="H65" i="4" l="1"/>
  <c r="G69" i="4" s="1"/>
  <c r="H70" i="4" s="1"/>
  <c r="G72" i="4" s="1"/>
  <c r="G65" i="4"/>
</calcChain>
</file>

<file path=xl/sharedStrings.xml><?xml version="1.0" encoding="utf-8"?>
<sst xmlns="http://schemas.openxmlformats.org/spreadsheetml/2006/main" count="1900" uniqueCount="973">
  <si>
    <t>Maßstab</t>
  </si>
  <si>
    <t>Nebenkosten</t>
  </si>
  <si>
    <t>Profilart</t>
  </si>
  <si>
    <t>Leistungsumfang</t>
  </si>
  <si>
    <r>
      <t>F</t>
    </r>
    <r>
      <rPr>
        <i/>
        <vertAlign val="subscript"/>
        <sz val="10"/>
        <color theme="1"/>
        <rFont val="Cambria"/>
        <family val="1"/>
      </rPr>
      <t>1</t>
    </r>
  </si>
  <si>
    <r>
      <t>F</t>
    </r>
    <r>
      <rPr>
        <i/>
        <vertAlign val="subscript"/>
        <sz val="10"/>
        <color theme="1"/>
        <rFont val="Cambria"/>
        <family val="1"/>
      </rPr>
      <t>2</t>
    </r>
  </si>
  <si>
    <t>1:50</t>
  </si>
  <si>
    <t>1:100</t>
  </si>
  <si>
    <t>1:200</t>
  </si>
  <si>
    <t>1:500</t>
  </si>
  <si>
    <t>1:1000</t>
  </si>
  <si>
    <t>1:2000</t>
  </si>
  <si>
    <t>1:5000</t>
  </si>
  <si>
    <r>
      <t>F</t>
    </r>
    <r>
      <rPr>
        <i/>
        <vertAlign val="subscript"/>
        <sz val="10"/>
        <color theme="1"/>
        <rFont val="Cambria"/>
        <family val="1"/>
      </rPr>
      <t>3</t>
    </r>
  </si>
  <si>
    <r>
      <t>F</t>
    </r>
    <r>
      <rPr>
        <i/>
        <vertAlign val="subscript"/>
        <sz val="10"/>
        <color theme="1"/>
        <rFont val="Cambria"/>
        <family val="1"/>
      </rPr>
      <t>4</t>
    </r>
  </si>
  <si>
    <r>
      <t>F</t>
    </r>
    <r>
      <rPr>
        <i/>
        <vertAlign val="subscript"/>
        <sz val="10"/>
        <color theme="1"/>
        <rFont val="Cambria"/>
        <family val="1"/>
      </rPr>
      <t>5</t>
    </r>
  </si>
  <si>
    <r>
      <t>F</t>
    </r>
    <r>
      <rPr>
        <i/>
        <vertAlign val="subscript"/>
        <sz val="10"/>
        <color theme="1"/>
        <rFont val="Cambria"/>
        <family val="1"/>
      </rPr>
      <t>6</t>
    </r>
  </si>
  <si>
    <t>Ia</t>
  </si>
  <si>
    <t>IIa</t>
  </si>
  <si>
    <t>IIIa</t>
  </si>
  <si>
    <t>Ib</t>
  </si>
  <si>
    <t>IIb</t>
  </si>
  <si>
    <t>IIIb</t>
  </si>
  <si>
    <t>Ic</t>
  </si>
  <si>
    <t>IIc</t>
  </si>
  <si>
    <t>IIIc</t>
  </si>
  <si>
    <t>Gelände</t>
  </si>
  <si>
    <t>Gewässer</t>
  </si>
  <si>
    <t>Klasse</t>
  </si>
  <si>
    <t>Längsprofil</t>
  </si>
  <si>
    <t>Querprofil</t>
  </si>
  <si>
    <t>Profilart1</t>
  </si>
  <si>
    <t>Profilart2</t>
  </si>
  <si>
    <t>Messung und CAD-Auswertung</t>
  </si>
  <si>
    <t>Zu/Abschlag in %</t>
  </si>
  <si>
    <t>E i n g a b e b e r e i c h</t>
  </si>
  <si>
    <t>Überschrift</t>
  </si>
  <si>
    <t>Auftraggeber</t>
  </si>
  <si>
    <t>Projekt</t>
  </si>
  <si>
    <t>Bearbeiter</t>
  </si>
  <si>
    <t>Ingenieurstunde</t>
  </si>
  <si>
    <t>Ansprechpartner</t>
  </si>
  <si>
    <t>Kalkulationsgrundlage: Leistungsbild für Vermessung und Geoinformation (LB_VG)</t>
  </si>
  <si>
    <t>GESAMT</t>
  </si>
  <si>
    <t>PROFILE</t>
  </si>
  <si>
    <t>Herauszeichnen aus bestehenden LH-Plänen</t>
  </si>
  <si>
    <t xml:space="preserve">Ingenieurstunde: </t>
  </si>
  <si>
    <t>Formeln:</t>
  </si>
  <si>
    <t>n=</t>
  </si>
  <si>
    <t>l=</t>
  </si>
  <si>
    <r>
      <t>n</t>
    </r>
    <r>
      <rPr>
        <vertAlign val="sub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>=</t>
    </r>
  </si>
  <si>
    <r>
      <t>n</t>
    </r>
    <r>
      <rPr>
        <vertAlign val="sub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=</t>
    </r>
  </si>
  <si>
    <r>
      <t>n</t>
    </r>
    <r>
      <rPr>
        <vertAlign val="subscript"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>=</t>
    </r>
  </si>
  <si>
    <r>
      <t>l</t>
    </r>
    <r>
      <rPr>
        <vertAlign val="sub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>=</t>
    </r>
  </si>
  <si>
    <r>
      <t>l</t>
    </r>
    <r>
      <rPr>
        <vertAlign val="sub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=</t>
    </r>
  </si>
  <si>
    <r>
      <t>l</t>
    </r>
    <r>
      <rPr>
        <vertAlign val="subscript"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>=</t>
    </r>
  </si>
  <si>
    <t>durchschn. l=</t>
  </si>
  <si>
    <r>
      <t>Profilanzahl n</t>
    </r>
    <r>
      <rPr>
        <vertAlign val="subscript"/>
        <sz val="11"/>
        <color theme="1"/>
        <rFont val="Calibri"/>
        <family val="2"/>
        <scheme val="minor"/>
      </rPr>
      <t>i</t>
    </r>
  </si>
  <si>
    <r>
      <t>Gelände/Schwierigkeit s</t>
    </r>
    <r>
      <rPr>
        <vertAlign val="subscript"/>
        <sz val="11"/>
        <color theme="1"/>
        <rFont val="Calibri"/>
        <family val="2"/>
        <scheme val="minor"/>
      </rPr>
      <t>i</t>
    </r>
  </si>
  <si>
    <r>
      <t>Profilanzahl n</t>
    </r>
    <r>
      <rPr>
        <vertAlign val="subscript"/>
        <sz val="10"/>
        <color theme="1"/>
        <rFont val="Calibri"/>
        <family val="2"/>
        <scheme val="minor"/>
      </rPr>
      <t>i</t>
    </r>
  </si>
  <si>
    <r>
      <t>Gelände/Schwierigkeit s</t>
    </r>
    <r>
      <rPr>
        <vertAlign val="subscript"/>
        <sz val="10"/>
        <color theme="1"/>
        <rFont val="Calibri"/>
        <family val="2"/>
        <scheme val="minor"/>
      </rPr>
      <t>i</t>
    </r>
  </si>
  <si>
    <r>
      <t>H</t>
    </r>
    <r>
      <rPr>
        <vertAlign val="subscript"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 = [(F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*l)+S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(F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*l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*s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)+(0,19*n)+(Potenz((l/n);0,25)/6)-1+(1/Potenz(n;0,25))]*IS+N</t>
    </r>
  </si>
  <si>
    <t>Masstab:</t>
  </si>
  <si>
    <r>
      <t>Profillänge l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(gesamt)</t>
    </r>
  </si>
  <si>
    <t>Honorar:</t>
  </si>
  <si>
    <t>Ha=</t>
  </si>
  <si>
    <t>Hb=</t>
  </si>
  <si>
    <t>Hc=</t>
  </si>
  <si>
    <t>Abminderungsfaktor b</t>
  </si>
  <si>
    <r>
      <t>H</t>
    </r>
    <r>
      <rPr>
        <vertAlign val="subscript"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 = [(F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*l)+S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(F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*l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*s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)+(0,28*n)+(Potenz((l/n);0,5)/3)-1+(2/Potenz(n;0,5))+S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(0,24*n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*s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)]*IS*b+N</t>
    </r>
  </si>
  <si>
    <r>
      <t>H</t>
    </r>
    <r>
      <rPr>
        <vertAlign val="subscript"/>
        <sz val="11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 = [(F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*l)+S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(F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*l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*s</t>
    </r>
    <r>
      <rPr>
        <vertAlign val="sub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)+(Potenz((l/n);0,5)/3)-1+(2/Potenz(n;0,1))]*IS*b+N</t>
    </r>
  </si>
  <si>
    <t>Gesamthonorar:</t>
  </si>
  <si>
    <t>D r u c k b e r e i c h</t>
  </si>
  <si>
    <t>Abminderungsfaktor b:</t>
  </si>
  <si>
    <r>
      <t>H</t>
    </r>
    <r>
      <rPr>
        <vertAlign val="subscript"/>
        <sz val="11"/>
        <color theme="0" tint="-0.499984740745262"/>
        <rFont val="Calibri"/>
        <family val="2"/>
        <scheme val="minor"/>
      </rPr>
      <t>a</t>
    </r>
    <r>
      <rPr>
        <sz val="11"/>
        <color theme="0" tint="-0.499984740745262"/>
        <rFont val="Calibri"/>
        <family val="2"/>
        <scheme val="minor"/>
      </rPr>
      <t xml:space="preserve"> = [(F</t>
    </r>
    <r>
      <rPr>
        <vertAlign val="subscript"/>
        <sz val="11"/>
        <color theme="0" tint="-0.499984740745262"/>
        <rFont val="Calibri"/>
        <family val="2"/>
        <scheme val="minor"/>
      </rPr>
      <t>1</t>
    </r>
    <r>
      <rPr>
        <sz val="11"/>
        <color theme="0" tint="-0.499984740745262"/>
        <rFont val="Calibri"/>
        <family val="2"/>
        <scheme val="minor"/>
      </rPr>
      <t>*l)+S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(F</t>
    </r>
    <r>
      <rPr>
        <vertAlign val="subscript"/>
        <sz val="11"/>
        <color theme="0" tint="-0.499984740745262"/>
        <rFont val="Calibri"/>
        <family val="2"/>
        <scheme val="minor"/>
      </rPr>
      <t>2</t>
    </r>
    <r>
      <rPr>
        <sz val="11"/>
        <color theme="0" tint="-0.499984740745262"/>
        <rFont val="Calibri"/>
        <family val="2"/>
        <scheme val="minor"/>
      </rPr>
      <t>*l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*s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)+(0,28*n)+(Potenz((l/n);0,5)/3)-1+(2/Potenz(n;0,5))+S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(0,24*n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*s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)]*IS*b+N</t>
    </r>
  </si>
  <si>
    <r>
      <t>H</t>
    </r>
    <r>
      <rPr>
        <vertAlign val="subscript"/>
        <sz val="11"/>
        <color theme="0" tint="-0.499984740745262"/>
        <rFont val="Calibri"/>
        <family val="2"/>
        <scheme val="minor"/>
      </rPr>
      <t>b</t>
    </r>
    <r>
      <rPr>
        <sz val="11"/>
        <color theme="0" tint="-0.499984740745262"/>
        <rFont val="Calibri"/>
        <family val="2"/>
        <scheme val="minor"/>
      </rPr>
      <t xml:space="preserve"> = [(F</t>
    </r>
    <r>
      <rPr>
        <vertAlign val="subscript"/>
        <sz val="11"/>
        <color theme="0" tint="-0.499984740745262"/>
        <rFont val="Calibri"/>
        <family val="2"/>
        <scheme val="minor"/>
      </rPr>
      <t>3</t>
    </r>
    <r>
      <rPr>
        <sz val="11"/>
        <color theme="0" tint="-0.499984740745262"/>
        <rFont val="Calibri"/>
        <family val="2"/>
        <scheme val="minor"/>
      </rPr>
      <t>*l)+S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(F</t>
    </r>
    <r>
      <rPr>
        <vertAlign val="subscript"/>
        <sz val="11"/>
        <color theme="0" tint="-0.499984740745262"/>
        <rFont val="Calibri"/>
        <family val="2"/>
        <scheme val="minor"/>
      </rPr>
      <t>4</t>
    </r>
    <r>
      <rPr>
        <sz val="11"/>
        <color theme="0" tint="-0.499984740745262"/>
        <rFont val="Calibri"/>
        <family val="2"/>
        <scheme val="minor"/>
      </rPr>
      <t>*l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*s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)+(Potenz((l/n);0,5)/3)-1+(2/Potenz(n;0,1))]*IS*b+N</t>
    </r>
  </si>
  <si>
    <r>
      <t>H</t>
    </r>
    <r>
      <rPr>
        <vertAlign val="subscript"/>
        <sz val="11"/>
        <color theme="0" tint="-0.499984740745262"/>
        <rFont val="Calibri"/>
        <family val="2"/>
        <scheme val="minor"/>
      </rPr>
      <t>c</t>
    </r>
    <r>
      <rPr>
        <sz val="11"/>
        <color theme="0" tint="-0.499984740745262"/>
        <rFont val="Calibri"/>
        <family val="2"/>
        <scheme val="minor"/>
      </rPr>
      <t xml:space="preserve"> = [(F</t>
    </r>
    <r>
      <rPr>
        <vertAlign val="subscript"/>
        <sz val="11"/>
        <color theme="0" tint="-0.499984740745262"/>
        <rFont val="Calibri"/>
        <family val="2"/>
        <scheme val="minor"/>
      </rPr>
      <t>5</t>
    </r>
    <r>
      <rPr>
        <sz val="11"/>
        <color theme="0" tint="-0.499984740745262"/>
        <rFont val="Calibri"/>
        <family val="2"/>
        <scheme val="minor"/>
      </rPr>
      <t>*l)+S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(F</t>
    </r>
    <r>
      <rPr>
        <vertAlign val="subscript"/>
        <sz val="11"/>
        <color theme="0" tint="-0.499984740745262"/>
        <rFont val="Calibri"/>
        <family val="2"/>
        <scheme val="minor"/>
      </rPr>
      <t>6</t>
    </r>
    <r>
      <rPr>
        <sz val="11"/>
        <color theme="0" tint="-0.499984740745262"/>
        <rFont val="Calibri"/>
        <family val="2"/>
        <scheme val="minor"/>
      </rPr>
      <t>*l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*s</t>
    </r>
    <r>
      <rPr>
        <vertAlign val="subscript"/>
        <sz val="11"/>
        <color theme="0" tint="-0.499984740745262"/>
        <rFont val="Calibri"/>
        <family val="2"/>
        <scheme val="minor"/>
      </rPr>
      <t>i</t>
    </r>
    <r>
      <rPr>
        <sz val="11"/>
        <color theme="0" tint="-0.499984740745262"/>
        <rFont val="Calibri"/>
        <family val="2"/>
        <scheme val="minor"/>
      </rPr>
      <t>)+(0,19*n)+(Potenz((l/n);0,25)/6)-1+(1/Potenz(n;0,25))]*IS+N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</si>
  <si>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1</t>
    </r>
    <r>
      <rPr>
        <sz val="12"/>
        <color theme="0" tint="-0.499984740745262"/>
        <rFont val="Calibri"/>
        <family val="2"/>
        <scheme val="minor"/>
      </rPr>
      <t>=</t>
    </r>
  </si>
  <si>
    <r>
      <t>F</t>
    </r>
    <r>
      <rPr>
        <vertAlign val="subscript"/>
        <sz val="12"/>
        <color theme="0" tint="-0.499984740745262"/>
        <rFont val="Calibri"/>
        <family val="2"/>
        <scheme val="minor"/>
      </rPr>
      <t>1</t>
    </r>
    <r>
      <rPr>
        <sz val="12"/>
        <color theme="0" tint="-0.499984740745262"/>
        <rFont val="Calibri"/>
        <family val="2"/>
        <scheme val="minor"/>
      </rPr>
      <t>=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</si>
  <si>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2</t>
    </r>
    <r>
      <rPr>
        <sz val="12"/>
        <color theme="0" tint="-0.499984740745262"/>
        <rFont val="Calibri"/>
        <family val="2"/>
        <scheme val="minor"/>
      </rPr>
      <t>=</t>
    </r>
  </si>
  <si>
    <r>
      <t>F</t>
    </r>
    <r>
      <rPr>
        <vertAlign val="subscript"/>
        <sz val="12"/>
        <color theme="0" tint="-0.499984740745262"/>
        <rFont val="Calibri"/>
        <family val="2"/>
        <scheme val="minor"/>
      </rPr>
      <t>2</t>
    </r>
    <r>
      <rPr>
        <sz val="12"/>
        <color theme="0" tint="-0.499984740745262"/>
        <rFont val="Calibri"/>
        <family val="2"/>
        <scheme val="minor"/>
      </rPr>
      <t>=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</si>
  <si>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3</t>
    </r>
    <r>
      <rPr>
        <sz val="12"/>
        <color theme="0" tint="-0.499984740745262"/>
        <rFont val="Calibri"/>
        <family val="2"/>
        <scheme val="minor"/>
      </rPr>
      <t>=</t>
    </r>
  </si>
  <si>
    <r>
      <t>F</t>
    </r>
    <r>
      <rPr>
        <vertAlign val="subscript"/>
        <sz val="12"/>
        <color theme="0" tint="-0.499984740745262"/>
        <rFont val="Calibri"/>
        <family val="2"/>
        <scheme val="minor"/>
      </rPr>
      <t>3</t>
    </r>
    <r>
      <rPr>
        <sz val="12"/>
        <color theme="0" tint="-0.499984740745262"/>
        <rFont val="Calibri"/>
        <family val="2"/>
        <scheme val="minor"/>
      </rPr>
      <t>=</t>
    </r>
  </si>
  <si>
    <r>
      <t>F</t>
    </r>
    <r>
      <rPr>
        <vertAlign val="subscript"/>
        <sz val="12"/>
        <color theme="0" tint="-0.499984740745262"/>
        <rFont val="Calibri"/>
        <family val="2"/>
        <scheme val="minor"/>
      </rPr>
      <t>4</t>
    </r>
    <r>
      <rPr>
        <sz val="12"/>
        <color theme="0" tint="-0.499984740745262"/>
        <rFont val="Calibri"/>
        <family val="2"/>
        <scheme val="minor"/>
      </rPr>
      <t>=</t>
    </r>
  </si>
  <si>
    <r>
      <t>F</t>
    </r>
    <r>
      <rPr>
        <vertAlign val="subscript"/>
        <sz val="12"/>
        <color theme="0" tint="-0.499984740745262"/>
        <rFont val="Calibri"/>
        <family val="2"/>
        <scheme val="minor"/>
      </rPr>
      <t>5</t>
    </r>
    <r>
      <rPr>
        <sz val="12"/>
        <color theme="0" tint="-0.499984740745262"/>
        <rFont val="Calibri"/>
        <family val="2"/>
        <scheme val="minor"/>
      </rPr>
      <t>=</t>
    </r>
  </si>
  <si>
    <r>
      <t>F</t>
    </r>
    <r>
      <rPr>
        <vertAlign val="subscript"/>
        <sz val="12"/>
        <color theme="0" tint="-0.499984740745262"/>
        <rFont val="Calibri"/>
        <family val="2"/>
        <scheme val="minor"/>
      </rPr>
      <t>6</t>
    </r>
    <r>
      <rPr>
        <sz val="12"/>
        <color theme="0" tint="-0.499984740745262"/>
        <rFont val="Calibri"/>
        <family val="2"/>
        <scheme val="minor"/>
      </rPr>
      <t>=</t>
    </r>
  </si>
  <si>
    <t>Adresse</t>
  </si>
  <si>
    <t>Auftraggeber-GZ</t>
  </si>
  <si>
    <t>Auftragnehmer-GZ</t>
  </si>
  <si>
    <t>Zu/Abschlag in % (allg.)</t>
  </si>
  <si>
    <t>KATASTERVERMESSUNG</t>
  </si>
  <si>
    <t>TECHNISCHE VERMESSUNG:</t>
  </si>
  <si>
    <t>Ingenieurgeodätische Netzmessung</t>
  </si>
  <si>
    <t>Einzelpunkteinschaltung</t>
  </si>
  <si>
    <t>Kreisel-Stütz-Azimut</t>
  </si>
  <si>
    <t>Bestimmung von Detailpunkten mit oder ohne Höhe</t>
  </si>
  <si>
    <t>Punktbestimmung durch kinematische GNSS-Messung</t>
  </si>
  <si>
    <t>Nivellement</t>
  </si>
  <si>
    <t>Kombinierte Lage- und Höhenmessung - Geländeaufnahme</t>
  </si>
  <si>
    <t>Lage- und Höhenplan mit Höhenkoten und Höhenlinien</t>
  </si>
  <si>
    <t>3d-Planerstellung auf Basis eines 2,5d-Lage- und Höhenplanes</t>
  </si>
  <si>
    <t>Umbildung einer Geländeaufnahme durch Maßstabsänderung</t>
  </si>
  <si>
    <t>Umbildung einer Geländeaufnahme vom analogen auf digitalen Datenträger</t>
  </si>
  <si>
    <t>Nutzflächenermittlung</t>
  </si>
  <si>
    <t>Herstellung von Baubestandsplänen</t>
  </si>
  <si>
    <t>Herstellung von Profilen</t>
  </si>
  <si>
    <t>Absteckungen</t>
  </si>
  <si>
    <t>Achseinrechnung und Berechnung von Achszwischenpunkten</t>
  </si>
  <si>
    <t>Photogrammetrie</t>
  </si>
  <si>
    <t>Laserscanning</t>
  </si>
  <si>
    <t>Signalisierung und Stabilisierung</t>
  </si>
  <si>
    <t>GEOINFORMATION</t>
  </si>
  <si>
    <t>Bearbeitungsaufwand</t>
  </si>
  <si>
    <t>ADMINISTRATIVE UND SONSTIGE TÄTIGKEITEN</t>
  </si>
  <si>
    <t>Kanzleihonorare</t>
  </si>
  <si>
    <t>Regieleistungen</t>
  </si>
  <si>
    <t>Bieter</t>
  </si>
  <si>
    <r>
      <t>s</t>
    </r>
    <r>
      <rPr>
        <vertAlign val="sub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>=</t>
    </r>
  </si>
  <si>
    <r>
      <t>s</t>
    </r>
    <r>
      <rPr>
        <vertAlign val="sub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>=</t>
    </r>
  </si>
  <si>
    <r>
      <t>s</t>
    </r>
    <r>
      <rPr>
        <vertAlign val="subscript"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>=</t>
    </r>
  </si>
  <si>
    <t>Maßstab:</t>
  </si>
  <si>
    <t>Anzahl der Layer:</t>
  </si>
  <si>
    <t>Fläche (ha):</t>
  </si>
  <si>
    <t>Summe Fläche:</t>
  </si>
  <si>
    <t>Geländeklasse:</t>
  </si>
  <si>
    <t>Höhenlinien darstellen (-10%):</t>
  </si>
  <si>
    <t>Höhenkoten freistellen (-5%):</t>
  </si>
  <si>
    <t>15</t>
  </si>
  <si>
    <t>Gel. Kl.</t>
  </si>
  <si>
    <t>0.5-1ha</t>
  </si>
  <si>
    <t>1-5ha</t>
  </si>
  <si>
    <t>5-20ha</t>
  </si>
  <si>
    <t>&gt;20ha</t>
  </si>
  <si>
    <t>k</t>
  </si>
  <si>
    <t>k-Werte</t>
  </si>
  <si>
    <t>d-Werte</t>
  </si>
  <si>
    <t>Aufnahme Maßstab</t>
  </si>
  <si>
    <t>k-Wert</t>
  </si>
  <si>
    <t>d-Wert</t>
  </si>
  <si>
    <t>1:250</t>
  </si>
  <si>
    <t>2</t>
  </si>
  <si>
    <t>3</t>
  </si>
  <si>
    <t>4</t>
  </si>
  <si>
    <t>5</t>
  </si>
  <si>
    <t>Konstante!$M$70:$Q$78</t>
  </si>
  <si>
    <t>Konstante!$AB$70:$AF$78</t>
  </si>
  <si>
    <t>Konstante!$C$70:$G$78</t>
  </si>
  <si>
    <t>Konstante!$H$70:$L$78</t>
  </si>
  <si>
    <t>wiederholte Datenlieferung</t>
  </si>
  <si>
    <t>1-20</t>
  </si>
  <si>
    <t>21-50</t>
  </si>
  <si>
    <t>51-100</t>
  </si>
  <si>
    <t>ja</t>
  </si>
  <si>
    <t>nein</t>
  </si>
  <si>
    <t>fläche</t>
  </si>
  <si>
    <t>f</t>
  </si>
  <si>
    <t>d</t>
  </si>
  <si>
    <t>Konstante!$R$70:$V$78</t>
  </si>
  <si>
    <t>Konstante!$W$70:$AA$78</t>
  </si>
  <si>
    <t>Honorar</t>
  </si>
  <si>
    <t>Straßenlänge:</t>
  </si>
  <si>
    <t>A=</t>
  </si>
  <si>
    <t>Aufnahmefläche</t>
  </si>
  <si>
    <t>Geländeklasse</t>
  </si>
  <si>
    <t>(ab dem 3.)</t>
  </si>
  <si>
    <t>längenbezogene Objekte (km):</t>
  </si>
  <si>
    <t>(Lärmschutzwände, Stützmauern)</t>
  </si>
  <si>
    <t>zus. Fahrstreifen (km):</t>
  </si>
  <si>
    <t>(Brücken, Unterführungen, Durchlässe)</t>
  </si>
  <si>
    <t>(pro zusätzlichen Fahrstreifen oder pro 30m Brückenlänge)</t>
  </si>
  <si>
    <t>Anzahl Kreuzungen:</t>
  </si>
  <si>
    <t>Art der Bearbeitung:</t>
  </si>
  <si>
    <t>Straßenlänge (km):</t>
  </si>
  <si>
    <t>ha</t>
  </si>
  <si>
    <t>Layeranzahl</t>
  </si>
  <si>
    <t>Faktor Geländeklasse</t>
  </si>
  <si>
    <t>Korrekturfaktor</t>
  </si>
  <si>
    <t>gleichzeitige Beauftragung der 2,5d Aufnahme</t>
  </si>
  <si>
    <t>gesonderte Beauftragung</t>
  </si>
  <si>
    <t>Übernahme von Fremddaten</t>
  </si>
  <si>
    <t>Anz. Überlänge oder Überbreite:</t>
  </si>
  <si>
    <t>Länge (Km):</t>
  </si>
  <si>
    <t>Datenherkunft</t>
  </si>
  <si>
    <t>analog</t>
  </si>
  <si>
    <t>digital</t>
  </si>
  <si>
    <t>Zielmaßstab:</t>
  </si>
  <si>
    <t>Maßstabsänderung</t>
  </si>
  <si>
    <t>analog auf digital</t>
  </si>
  <si>
    <t>Datenherkunft:</t>
  </si>
  <si>
    <t>Kellergeschoß:</t>
  </si>
  <si>
    <t>Erdgeschoß:</t>
  </si>
  <si>
    <t>3. Obergeschoß:</t>
  </si>
  <si>
    <t>2. Obergeschoß:</t>
  </si>
  <si>
    <t>1. Obergeschoß:</t>
  </si>
  <si>
    <t>4. Obergeschoß:</t>
  </si>
  <si>
    <t>genehmigte Ausführungspläne vorhanden</t>
  </si>
  <si>
    <t>m²</t>
  </si>
  <si>
    <t>5. Obergeschoß:</t>
  </si>
  <si>
    <t>Dachgeschoß:</t>
  </si>
  <si>
    <t>Gesamtfläche:</t>
  </si>
  <si>
    <t>Bruttogeschoßflächen</t>
  </si>
  <si>
    <t>Ein zusätzlicher Aufwand durch Behinderung der Begeh- und Messbarkeit ist gesondert zu verrechnen.</t>
  </si>
  <si>
    <t>genehmigter Ausführungsplan</t>
  </si>
  <si>
    <t>Flächen:</t>
  </si>
  <si>
    <t>Dachdraufsichtsfläche:</t>
  </si>
  <si>
    <t>Schwierigkeitsgrad</t>
  </si>
  <si>
    <t>I</t>
  </si>
  <si>
    <t>II</t>
  </si>
  <si>
    <t>III</t>
  </si>
  <si>
    <t>M</t>
  </si>
  <si>
    <t>Gebäude ohne Achssystem</t>
  </si>
  <si>
    <t>Historisches Gebäude</t>
  </si>
  <si>
    <t>Zeitgenössisches Gebäude mit Achssystem</t>
  </si>
  <si>
    <t>Schwierigkeitsgrad:</t>
  </si>
  <si>
    <t>Gebäudeart:</t>
  </si>
  <si>
    <t>Flächen</t>
  </si>
  <si>
    <t>mit Höhe</t>
  </si>
  <si>
    <t>mittlerer Punktabstand</t>
  </si>
  <si>
    <t>Punktanzahl</t>
  </si>
  <si>
    <t>Punkteinrechnung</t>
  </si>
  <si>
    <t>Messeinsätze</t>
  </si>
  <si>
    <t>10m</t>
  </si>
  <si>
    <t>20m</t>
  </si>
  <si>
    <t>25m</t>
  </si>
  <si>
    <t>50m</t>
  </si>
  <si>
    <t>100m</t>
  </si>
  <si>
    <t>G</t>
  </si>
  <si>
    <t>Punktlagegenauigkeit</t>
  </si>
  <si>
    <t>Koordinatenverzeichnis im System der Landesvermessung</t>
  </si>
  <si>
    <t>Koordinatenverzeichnis in eindeutigem lokalem System</t>
  </si>
  <si>
    <t>Homogene Maßangaben</t>
  </si>
  <si>
    <t>Inhomogene Maßangaben (leicht)</t>
  </si>
  <si>
    <t>Inhomogene Maßangaben (mittel)</t>
  </si>
  <si>
    <t>Inhomogene Maßangaben (schwer)</t>
  </si>
  <si>
    <t>Punkte</t>
  </si>
  <si>
    <t>Höhe</t>
  </si>
  <si>
    <t>Punklage-  genauigkeit</t>
  </si>
  <si>
    <t>T</t>
  </si>
  <si>
    <t>Anfahrten:</t>
  </si>
  <si>
    <t>Messeinsätze/Anfahrten:</t>
  </si>
  <si>
    <t>mit Höhe abstecken</t>
  </si>
  <si>
    <t>Punktlage-  genauigkeit</t>
  </si>
  <si>
    <t>Trassenhauptpunkte</t>
  </si>
  <si>
    <t>0-5</t>
  </si>
  <si>
    <t>5-20</t>
  </si>
  <si>
    <t>über 20</t>
  </si>
  <si>
    <t>Achszwischenpunkte</t>
  </si>
  <si>
    <t>Dimension</t>
  </si>
  <si>
    <t>Lage</t>
  </si>
  <si>
    <t>Lage und Höhe</t>
  </si>
  <si>
    <t>Lage, Höhe und Überhöhung</t>
  </si>
  <si>
    <t>von Achszwischenpunkten</t>
  </si>
  <si>
    <t>Achslänge</t>
  </si>
  <si>
    <t>Achszwischenpunkte je km</t>
  </si>
  <si>
    <t>Trassenhaupt-      punkte je km</t>
  </si>
  <si>
    <t>g</t>
  </si>
  <si>
    <t>Trassenhaupt- punkte je km</t>
  </si>
  <si>
    <t>Polygonstein, Länge mind. 50 cm</t>
  </si>
  <si>
    <t>Grenzstein, Länge mind. 50 cm</t>
  </si>
  <si>
    <t>Kunststoff- oder Metallmarke, Länge mind. 50 cm</t>
  </si>
  <si>
    <t>Gabelpunkt</t>
  </si>
  <si>
    <t>Eisenrohr oder Eisenbolzen, einbetoniert</t>
  </si>
  <si>
    <t>Eisenrohr oder Eisenbolzen</t>
  </si>
  <si>
    <t>Eingemeißeltes Kreuz oder Loch</t>
  </si>
  <si>
    <t>Sichtpflock, Länge mind. 60 cm</t>
  </si>
  <si>
    <t>Bodenpflock, Länge mind. 30 cm</t>
  </si>
  <si>
    <t>Schriftschindel beschriftet mit Kopf, Länge 60 cm</t>
  </si>
  <si>
    <t>Signalstange beschriftet, mit weißem Kopf, Lg. 120 cm</t>
  </si>
  <si>
    <t>Punktsicherung durch Lattendreieck auf 3 Pflöcken</t>
  </si>
  <si>
    <t>Höhenbolzen in Bauwerken oder im Fels</t>
  </si>
  <si>
    <t>Artikel</t>
  </si>
  <si>
    <t>Versetzen</t>
  </si>
  <si>
    <t>Material</t>
  </si>
  <si>
    <t>v+m</t>
  </si>
  <si>
    <t>v</t>
  </si>
  <si>
    <t>m</t>
  </si>
  <si>
    <t>Pos. Nr.</t>
  </si>
  <si>
    <t>Erreichbarkeit</t>
  </si>
  <si>
    <t>A</t>
  </si>
  <si>
    <t>mit Kfz erreichbar</t>
  </si>
  <si>
    <t>B</t>
  </si>
  <si>
    <t>mit Kfz nur über Umwege oder mit Geländefahrzeug erreichbar</t>
  </si>
  <si>
    <t>C</t>
  </si>
  <si>
    <t>nur mit langen Fußmärschen erreichbar</t>
  </si>
  <si>
    <t>Anzahl</t>
  </si>
  <si>
    <t>Vermarkung</t>
  </si>
  <si>
    <t>Geländeklassenspalten</t>
  </si>
  <si>
    <t>A - mit Kfz erreichbar</t>
  </si>
  <si>
    <t>B - mit Kfz nur über Umwege oder mit Geländefahrzeug erreichbar</t>
  </si>
  <si>
    <t>C - nur mit langen Fußmärschen erreichbar</t>
  </si>
  <si>
    <t>A - mit Kfz erreichbar                                                                                                                             B - mit Kfz nur über Umwege oder mit Geländefahrzeug erreichbar                              C - nur mit langen Fußmärschen erreichbar</t>
  </si>
  <si>
    <t>E</t>
  </si>
  <si>
    <t>Erreichbarkeit:</t>
  </si>
  <si>
    <t>F</t>
  </si>
  <si>
    <t>H</t>
  </si>
  <si>
    <t>K</t>
  </si>
  <si>
    <t>L</t>
  </si>
  <si>
    <t>S</t>
  </si>
  <si>
    <t>Leistungsumfang:</t>
  </si>
  <si>
    <t>interpoliert</t>
  </si>
  <si>
    <t xml:space="preserve">W = </t>
  </si>
  <si>
    <t xml:space="preserve">E = </t>
  </si>
  <si>
    <t xml:space="preserve">G = </t>
  </si>
  <si>
    <t>interpolierter Wert aus Tabelle</t>
  </si>
  <si>
    <t xml:space="preserve">A = </t>
  </si>
  <si>
    <t>Anzahl der Netzpunkte</t>
  </si>
  <si>
    <t xml:space="preserve">n = </t>
  </si>
  <si>
    <t>A: zweiter Wert</t>
  </si>
  <si>
    <t>A: erster Wert</t>
  </si>
  <si>
    <t>Interpolation:</t>
  </si>
  <si>
    <t xml:space="preserve">h = </t>
  </si>
  <si>
    <t>NEIN</t>
  </si>
  <si>
    <t>inkl. Höhenmess.:</t>
  </si>
  <si>
    <t>Wiederholungsmess.:</t>
  </si>
  <si>
    <t>Erschwernis:</t>
  </si>
  <si>
    <t>L=(2mm+8mm/km) H=(5mm+10mm/km)</t>
  </si>
  <si>
    <t>G =</t>
  </si>
  <si>
    <t>Standardabweichung in Lage und Höhe:</t>
  </si>
  <si>
    <t>Konstante!$C$24:$C$25</t>
  </si>
  <si>
    <t>Anzahl der Netzpunkte:</t>
  </si>
  <si>
    <t>Konstante!$C$22:$C$23</t>
  </si>
  <si>
    <t>Mindestanzahl an Netzpunkten:</t>
  </si>
  <si>
    <t>vorgeschlagene Messmethode:</t>
  </si>
  <si>
    <t>Klasse 1: bis 600m; Klasse 2: über 600m</t>
  </si>
  <si>
    <t>Punktabstandsklasse:</t>
  </si>
  <si>
    <t>Durchschnittlicher Punktabstand [m]:</t>
  </si>
  <si>
    <t>NETZMESSUNG</t>
  </si>
  <si>
    <t xml:space="preserve">f = </t>
  </si>
  <si>
    <t>Anzahl der Polygonpunkte inkl. Anschlusspunkte</t>
  </si>
  <si>
    <t>Länge des Polygonzuges</t>
  </si>
  <si>
    <t xml:space="preserve">S = </t>
  </si>
  <si>
    <t>Term 4</t>
  </si>
  <si>
    <t>Term 3</t>
  </si>
  <si>
    <t>Geländeklasse/Schwierigkeitsstufe</t>
  </si>
  <si>
    <t>Term 2</t>
  </si>
  <si>
    <t>Term 1</t>
  </si>
  <si>
    <t>Anzahl der Instr.-standpunkte inkl. Anschlusspunkte</t>
  </si>
  <si>
    <t>Formel:</t>
  </si>
  <si>
    <t>Länge des Polygonzuges [km]</t>
  </si>
  <si>
    <t>ohne Punktbeschreibung und ohne Polygonzugsübersicht, ohne Höhenmessung</t>
  </si>
  <si>
    <t>Standardabw. in Lage und Höhe:</t>
  </si>
  <si>
    <t>Technischer Polygonzug</t>
  </si>
  <si>
    <t>Art des Poygonzuges:</t>
  </si>
  <si>
    <t>POLYGONZUG</t>
  </si>
  <si>
    <t>Genauigkeitsfaktor</t>
  </si>
  <si>
    <t>durchschnittliche Seitenlänge zu Bodenzielen</t>
  </si>
  <si>
    <t>Genauigkeitkeitsfaktor</t>
  </si>
  <si>
    <t>durchschnittliche Seitenlänge zu Bodenzielen in [km]</t>
  </si>
  <si>
    <t>mit Topographien, Netzübersicht und mit Höhenbestimmung</t>
  </si>
  <si>
    <t>EINZELPUNKTEINSCHALTUNG</t>
  </si>
  <si>
    <t>abweichung</t>
  </si>
  <si>
    <t>preis</t>
  </si>
  <si>
    <t>faktor</t>
  </si>
  <si>
    <t>Polygonseiten</t>
  </si>
  <si>
    <t>gruppe</t>
  </si>
  <si>
    <t>Standard-</t>
  </si>
  <si>
    <t>Einzel-</t>
  </si>
  <si>
    <t>Genauigkeits-</t>
  </si>
  <si>
    <t>Azimut-</t>
  </si>
  <si>
    <t>H = (15 * n + 31,5) * G * IS + N</t>
  </si>
  <si>
    <t>weitere Azimutgruppe:</t>
  </si>
  <si>
    <t>H = (15 * n + 61,2) * G * IS + N</t>
  </si>
  <si>
    <t>Erste Azimutgruppe:</t>
  </si>
  <si>
    <t>Vollständigkeit (5):</t>
  </si>
  <si>
    <t>Vollständigkeit (4):</t>
  </si>
  <si>
    <t>Vollständigkeit (3):</t>
  </si>
  <si>
    <t>Vollständigkeit (2):</t>
  </si>
  <si>
    <t>Vollständigkeit (1):</t>
  </si>
  <si>
    <t>KREISEL-STÜTZ-AZIMUT</t>
  </si>
  <si>
    <t>f =</t>
  </si>
  <si>
    <t>Anzahl der zu bestimmenden Punkte</t>
  </si>
  <si>
    <t xml:space="preserve">P = </t>
  </si>
  <si>
    <t>Länge als geradlinige Verbindung der zu bestimmenden Punkte</t>
  </si>
  <si>
    <t xml:space="preserve">    Standardabweichung</t>
  </si>
  <si>
    <t>2mm</t>
  </si>
  <si>
    <t xml:space="preserve">    Geländeklasse und Schwierigkeitsstufe</t>
  </si>
  <si>
    <t xml:space="preserve">    Anzahl der zu bestimmenden Punkte</t>
  </si>
  <si>
    <t>P</t>
  </si>
  <si>
    <t xml:space="preserve">    Länge in km als geradlinige Verbindung der zu bestimmenden Punkte</t>
  </si>
  <si>
    <t>Wiederholungsmessung</t>
  </si>
  <si>
    <t>Anzahl der zu topographierenden Nivellementpunkte</t>
  </si>
  <si>
    <t>n =</t>
  </si>
  <si>
    <t>Einfacher Nivellementweg in km</t>
  </si>
  <si>
    <t>S =</t>
  </si>
  <si>
    <t>Genauigkeitsfaktor gemäß Art des Nivellements</t>
  </si>
  <si>
    <t>H = (13,963 * S * G * f + 0,293 * n + 0,595) * IS + N</t>
  </si>
  <si>
    <t xml:space="preserve">    Anzahl der zu topographierenden Nivellementpunkte</t>
  </si>
  <si>
    <t>n</t>
  </si>
  <si>
    <t xml:space="preserve">   Einfacher Nivellementweg in km</t>
  </si>
  <si>
    <t xml:space="preserve">    Genauigkeitsfaktor gemäß Art des Nivellements</t>
  </si>
  <si>
    <t xml:space="preserve">    Art des Nivellements</t>
  </si>
  <si>
    <t>Ingenieurnivellement</t>
  </si>
  <si>
    <t>NIVELLEMENT</t>
  </si>
  <si>
    <t>D =</t>
  </si>
  <si>
    <t>Ed =</t>
  </si>
  <si>
    <t>Es =</t>
  </si>
  <si>
    <t>Anzahl der mit trig. Höhenmessung bestimmten Detailpunkte</t>
  </si>
  <si>
    <t>Ndh =</t>
  </si>
  <si>
    <t>Anzahl der erstmals aufgenommenen Detailpunkte (Nullmessung)</t>
  </si>
  <si>
    <t xml:space="preserve">Nd = </t>
  </si>
  <si>
    <t>Anzahl der nicht zugänglichen Detailpunkte</t>
  </si>
  <si>
    <t>Nds =</t>
  </si>
  <si>
    <t>Anzahl der zugänglichen Detailpunkte</t>
  </si>
  <si>
    <t>Ndp =</t>
  </si>
  <si>
    <t>Anzahl der Stadpunkte</t>
  </si>
  <si>
    <t>(12,145+(0,847*Potenz(n;0,4)*(1+Es)+(0,42*Ndp+0,2555*Nd+0,056*Ndh)*(1+Ed)+</t>
  </si>
  <si>
    <t xml:space="preserve">H = </t>
  </si>
  <si>
    <t xml:space="preserve">    Darstellungsfaktor</t>
  </si>
  <si>
    <t>Zwangspunkte Lage</t>
  </si>
  <si>
    <t>D</t>
  </si>
  <si>
    <t xml:space="preserve">    (Standardabweichung Lage/Höhe)</t>
  </si>
  <si>
    <t>20mm/15mm</t>
  </si>
  <si>
    <t>einfach</t>
  </si>
  <si>
    <t xml:space="preserve">    Erreichbarkeitszuschlag für Detailpunkte</t>
  </si>
  <si>
    <t>Ed</t>
  </si>
  <si>
    <t xml:space="preserve">    Erreichbarkeitszuschlag für Standpunkte</t>
  </si>
  <si>
    <t>Es</t>
  </si>
  <si>
    <t xml:space="preserve">    Anzahl der mit trig. Höhenmessung bestimmten Detailpunkte</t>
  </si>
  <si>
    <t>Ndh</t>
  </si>
  <si>
    <t xml:space="preserve">    Anzahl der erstmals aufgenommenen Detailpunkte (Nullmessung)</t>
  </si>
  <si>
    <t>Nd</t>
  </si>
  <si>
    <t xml:space="preserve">    Anzahl der nicht zugänglichen Detailpunkte</t>
  </si>
  <si>
    <t>Nds</t>
  </si>
  <si>
    <t xml:space="preserve">    Anzahl der zugänglichen Detailpunkte</t>
  </si>
  <si>
    <t>Ndp</t>
  </si>
  <si>
    <t>DETAILPUNKTE</t>
  </si>
  <si>
    <t>Messung</t>
  </si>
  <si>
    <t>l3=</t>
  </si>
  <si>
    <t>l2=</t>
  </si>
  <si>
    <t>ns =</t>
  </si>
  <si>
    <t>n+ =</t>
  </si>
  <si>
    <t>l1=</t>
  </si>
  <si>
    <t>ns3 =</t>
  </si>
  <si>
    <t>n3+ =</t>
  </si>
  <si>
    <t>n3=</t>
  </si>
  <si>
    <t>ns2 =</t>
  </si>
  <si>
    <t>n2+ =</t>
  </si>
  <si>
    <t>n2=</t>
  </si>
  <si>
    <t>ns1 =</t>
  </si>
  <si>
    <t>n1+ =</t>
  </si>
  <si>
    <t>n1=</t>
  </si>
  <si>
    <t xml:space="preserve">T = </t>
  </si>
  <si>
    <t xml:space="preserve">F4 = </t>
  </si>
  <si>
    <t>F3 =</t>
  </si>
  <si>
    <t>Faktor aus Tabelle 3.13c</t>
  </si>
  <si>
    <t>F2 =</t>
  </si>
  <si>
    <t>2) Auswertung digitaler Datensätze</t>
  </si>
  <si>
    <t>H = n * (0,05 + A) * IS</t>
  </si>
  <si>
    <t>Additionskonstante für Projektvorbereitung</t>
  </si>
  <si>
    <t>A =</t>
  </si>
  <si>
    <t>Anzahl der zu bestimmenden Neupunkte</t>
  </si>
  <si>
    <t>1) Einzelpunktauswerungen</t>
  </si>
  <si>
    <t>Photogrammetrische Auswertung</t>
  </si>
  <si>
    <t>Anzahl der zu triangulierenden Bilder</t>
  </si>
  <si>
    <t>Aerotriangulation</t>
  </si>
  <si>
    <t xml:space="preserve">z = </t>
  </si>
  <si>
    <t>d =</t>
  </si>
  <si>
    <t>Faktor aus Tabelle 3.13a</t>
  </si>
  <si>
    <t xml:space="preserve">F = </t>
  </si>
  <si>
    <t>Anzahl der einzumessenden Passpunkträume</t>
  </si>
  <si>
    <t xml:space="preserve">M = </t>
  </si>
  <si>
    <t>Terrestr. Passpunktbestimmung</t>
  </si>
  <si>
    <t>Flugkosten:</t>
  </si>
  <si>
    <t>IS:</t>
  </si>
  <si>
    <t>Vollständigkeit der Einzelpunktauswertung:</t>
  </si>
  <si>
    <t>Vollständigkeit der Aerotriangulation:</t>
  </si>
  <si>
    <t>Vollständigkeit der Passpunktbestimmung:</t>
  </si>
  <si>
    <t>Normalwinkel</t>
  </si>
  <si>
    <t xml:space="preserve">    Objektivart bei der Befliegung</t>
  </si>
  <si>
    <t>städtische Gebiete</t>
  </si>
  <si>
    <t xml:space="preserve">    Strukturierung der Oberfläche</t>
  </si>
  <si>
    <t>für mehrere Wochen</t>
  </si>
  <si>
    <t xml:space="preserve">    Zeitdauer der Befliegung</t>
  </si>
  <si>
    <t>Sonnenhöchststand +/-2h</t>
  </si>
  <si>
    <t xml:space="preserve">    Befliegungsdauer pro Tag</t>
  </si>
  <si>
    <t xml:space="preserve">    Jahreszeit der Befliegung</t>
  </si>
  <si>
    <t>eben, hügelig</t>
  </si>
  <si>
    <t xml:space="preserve">    Geländeklasse</t>
  </si>
  <si>
    <t xml:space="preserve">    Anzahl der Orthophotovorlagen</t>
  </si>
  <si>
    <t>3) Digitale Orthophotos</t>
  </si>
  <si>
    <t xml:space="preserve">    Sonstige Ab/Zuschläge</t>
  </si>
  <si>
    <t>lockere Verbauung (z.B. Stadtrandsiedlung, Autobahnknoten), Gkl. II</t>
  </si>
  <si>
    <t>1 : 20.000</t>
  </si>
  <si>
    <t xml:space="preserve">    Schwierigkeit</t>
  </si>
  <si>
    <t>Automatische DOM-Auswertung mit DGM-Berechnung</t>
  </si>
  <si>
    <t xml:space="preserve">    Höhenauswertung:</t>
  </si>
  <si>
    <t>nur Lage</t>
  </si>
  <si>
    <t xml:space="preserve">    Dimension der Auswertung</t>
  </si>
  <si>
    <t xml:space="preserve">    Anzahl der Neupuntke</t>
  </si>
  <si>
    <t>1) Einzelpunktauswertung</t>
  </si>
  <si>
    <t>Photogrammetrsiche Auswertung</t>
  </si>
  <si>
    <t xml:space="preserve">    Anzahl der zu triangulierenden Bilder</t>
  </si>
  <si>
    <t>automatisch</t>
  </si>
  <si>
    <t xml:space="preserve">    Messart der Verknüpfungspunkte</t>
  </si>
  <si>
    <t xml:space="preserve">    Sonstige Zuschläge</t>
  </si>
  <si>
    <t>keine Dokumentation</t>
  </si>
  <si>
    <t xml:space="preserve">    Passpunktdokumentation:</t>
  </si>
  <si>
    <t>Vorhandenes Triangulierungsnetz III. Ordnung (rd. 6 km Abstand)</t>
  </si>
  <si>
    <t>schwer zugänglich</t>
  </si>
  <si>
    <t xml:space="preserve">Zugänglichkeit:  </t>
  </si>
  <si>
    <t xml:space="preserve">    Anzahl der einzumessenden Passpunkträume</t>
  </si>
  <si>
    <t xml:space="preserve">    Auswertemaßstab</t>
  </si>
  <si>
    <t>Flugkosten</t>
  </si>
  <si>
    <t>PHOTOGRAMMETRIE</t>
  </si>
  <si>
    <t>Netzmessung</t>
  </si>
  <si>
    <t>Polygonzug</t>
  </si>
  <si>
    <t>Standardabweichung in Lage und Höhe</t>
  </si>
  <si>
    <t>Tachymetrie</t>
  </si>
  <si>
    <t>GNSS</t>
  </si>
  <si>
    <t>Anzah</t>
  </si>
  <si>
    <t>durchschnittliche Entfernung benachbarter Netzpunkte</t>
  </si>
  <si>
    <t>durchschn. Entfernung benachbarter  Netzpunkte in [km]</t>
  </si>
  <si>
    <t>Hilfsspalte</t>
  </si>
  <si>
    <t>L=(6mm+20mm/km) H=(15mm+20mm/km)</t>
  </si>
  <si>
    <t>mit Punktbeschreibung und mit Polygonzugsübersicht, ohne Höhenmessung</t>
  </si>
  <si>
    <t>H = ((2,319 * S + 2,355 * n) * f + 0,347 * n + 0,640) * Potenz(S/(n/7);0,2) * IS + N</t>
  </si>
  <si>
    <t>mit Topographien und Netzübersicht, ohne Höhenbestimmung</t>
  </si>
  <si>
    <t>H = ((2,832 *  S + 1,416) x f + 7,821) * G * IS + N</t>
  </si>
  <si>
    <t>L=(8mm+0,5mm/km) H=(20mm+1mm/km)</t>
  </si>
  <si>
    <t>Erster Pkt.:</t>
  </si>
  <si>
    <t>H = ((2,319 * S + 1,694 * n) * f + 0,124 * n + 0,640) * Potenz(S/(n/7);0,2) * IS + N</t>
  </si>
  <si>
    <t>ohne Topographien und ohne Netzübersicht, ohne Höhenbestimmung</t>
  </si>
  <si>
    <t>H = ((2,832 * S + 0,474) * f + 6,809) * G * IS + N</t>
  </si>
  <si>
    <t>L=(15mm+2mm/km) H=(40mm+2mm/km)</t>
  </si>
  <si>
    <t>weiterer Pkt.:</t>
  </si>
  <si>
    <t>mit Höhenmessung, mit Punktbeschreibung und mit Polygonzugsübersicht</t>
  </si>
  <si>
    <t>H = ((2,319 * S + 2,355 * n) * f + 0,492 * n + 0,640) * Potenz(S/(n/7);0,2) * IS + N</t>
  </si>
  <si>
    <t>H = ((2,832 * S + 1,416) * f + 7,821) * G * 1,154 * IS + N</t>
  </si>
  <si>
    <t>mit Höhenmessung, ohne Punktbeschreibung und ohne Polygonzugsübersicht</t>
  </si>
  <si>
    <t>H = ((2,319 * S + 1,694 * n) * f + 0,259 * n + 0,640) * Potenz(S/(n/7);0,2) * IS + N</t>
  </si>
  <si>
    <t>ohne Topographien, ohne Netzübersicht und mit Höhenbestimmung</t>
  </si>
  <si>
    <t>H = ((2,832 * S + 0,474) * f + 6,809) * G * 1,154 * IS + N</t>
  </si>
  <si>
    <t>Trionom.Höhen</t>
  </si>
  <si>
    <t xml:space="preserve"> </t>
  </si>
  <si>
    <t>JA</t>
  </si>
  <si>
    <t>weitere</t>
  </si>
  <si>
    <t>H = ((1,228 * S + 1,759 * n) * f + 0,291 * n + 0,639) * Potenz(S/(n/7);0,2) * IS + N</t>
  </si>
  <si>
    <t>Art:</t>
  </si>
  <si>
    <t>H = ((1,228 * S + 1,173 * n) * f + 0,058 * n + 0,639) * Potenz(S/(n/7);0,2) * IS + N</t>
  </si>
  <si>
    <t>Feinpolygonzug</t>
  </si>
  <si>
    <t>L=(10mm/km) H=(10mm/km)</t>
  </si>
  <si>
    <t>H = ((1,228 * S + 1,759 * n) * f + 0,385 * n + 0,639) * Potenz(S/(n/7);0,2) * IS + N</t>
  </si>
  <si>
    <t>tachymetrisch</t>
  </si>
  <si>
    <t xml:space="preserve">Bearbeitungsaufwand von Netzen mit durchschnittlichem Punktabstand von max. 600m </t>
  </si>
  <si>
    <t>H = (A * G * E * W * h * IS) + N</t>
  </si>
  <si>
    <t>L=(30mm/km) H=(35mm/km)</t>
  </si>
  <si>
    <t>H = ((1,228 * S + 1,173 * n) * f + 0,152 * n + 0,639) * Potenz(S/(n/7);0,2) * IS + N</t>
  </si>
  <si>
    <t>Bearbeitungsaufwand von Netzen mit durchschnittlichem Punktabstand von mehr als 600m</t>
  </si>
  <si>
    <t>H = (A * G * E * W * IS) + N</t>
  </si>
  <si>
    <t>Auswertemaßstab:</t>
  </si>
  <si>
    <t>zugänglichkeit</t>
  </si>
  <si>
    <t>Passpunktdokumentation:</t>
  </si>
  <si>
    <t>Messart der Verknüpfungspunkte:</t>
  </si>
  <si>
    <t>Situationsreichtung und Schwierigkeit:</t>
  </si>
  <si>
    <t>Methode der Höhenauswertung</t>
  </si>
  <si>
    <t>Jahreszeit der Befliegung:</t>
  </si>
  <si>
    <t>Strukturierung der Oberfläche/Bebauung:</t>
  </si>
  <si>
    <t>leicht zugänglich</t>
  </si>
  <si>
    <t>Ackerland mit großen Grundstücken, Geländeklasse I (eben)</t>
  </si>
  <si>
    <t>Manuelle Höhenlinienauswertung</t>
  </si>
  <si>
    <t>ländliche Gebiete</t>
  </si>
  <si>
    <t>1 : 10.000</t>
  </si>
  <si>
    <t>Punktbeschreibungen</t>
  </si>
  <si>
    <t>manuell</t>
  </si>
  <si>
    <t>Ackerland mit großen Grundstücken, Geländeklasse II (hügelig)</t>
  </si>
  <si>
    <t>Manuelle Höhenmodellauswertung mit DGM-Berechnung</t>
  </si>
  <si>
    <t>Frühjahr/Herbst</t>
  </si>
  <si>
    <t>1 : 5.000</t>
  </si>
  <si>
    <t>Eintragung in Skizzen</t>
  </si>
  <si>
    <t>Ackerland mit großen Grundstücken, Geländeklasse III (bergig)</t>
  </si>
  <si>
    <t>Winter</t>
  </si>
  <si>
    <t>1 : 2.500</t>
  </si>
  <si>
    <t>Eintragung in Messbilder</t>
  </si>
  <si>
    <t>Freiland mit  Einzelgebäuden und einzelnen Verkehrswegen, Gkl. I</t>
  </si>
  <si>
    <t>1 : 2.000</t>
  </si>
  <si>
    <t>Freiland mit  Einzelgebäuden und einzelnen Verkehrswegen, Gkl. II</t>
  </si>
  <si>
    <t>Befliegungsdauer pro Tag:</t>
  </si>
  <si>
    <t>Objektivart:</t>
  </si>
  <si>
    <t>1 : 1.000</t>
  </si>
  <si>
    <t>Freiland mit  Einzelgebäuden und einzelnen Verkehrswegen, Gkl. III</t>
  </si>
  <si>
    <t>1 : 500</t>
  </si>
  <si>
    <t>Vorhandene Festpunkte mit Abständen &lt; 1km</t>
  </si>
  <si>
    <t>lockere Verbauung (z.B. Stadtrandsiedlung, Autobahnknoten), Gkl. I</t>
  </si>
  <si>
    <t>Sonnenhöchststand +/-4h</t>
  </si>
  <si>
    <t>Weitwinkel</t>
  </si>
  <si>
    <t>Vorhandenes Triangulierungsnetz V. Ordnung (rd. 1 km Abstand)</t>
  </si>
  <si>
    <t>gebirgig</t>
  </si>
  <si>
    <t>Vorhandenes Triangulierungsnetz IV. Ordnung (rd. 2,5 km Abstand)</t>
  </si>
  <si>
    <t>Lage- und Höhe</t>
  </si>
  <si>
    <t>lockere Verbauung (z.B. Stadtrandsiedlung, Autobahnknoten), Gkl. III</t>
  </si>
  <si>
    <t>Zeitdauer der Befliegung:</t>
  </si>
  <si>
    <t>dichte Verbauung (z.B. Stadtgebiet), Gkl. I</t>
  </si>
  <si>
    <t>für einen Tag</t>
  </si>
  <si>
    <t>keine Triangulierung oder nur Triangulierung I. oder II. Ordnung vorhanden</t>
  </si>
  <si>
    <t>dichte Verbauung (z.B. Stadtgebiet), Gkl. II</t>
  </si>
  <si>
    <t>für wenige Tage</t>
  </si>
  <si>
    <t>sehr dichte Verbauung (z.B. bei Ortskernen, Altstädten,…), Gkl .I</t>
  </si>
  <si>
    <t>Detailpunkte (Deformationsmessung, Zwangspuntke, Sol-Ist-Vergleich)</t>
  </si>
  <si>
    <t>Setzungsmessung</t>
  </si>
  <si>
    <t>Deformationsmessung</t>
  </si>
  <si>
    <t>Nullmessung</t>
  </si>
  <si>
    <t>H = (3/Potenz(S;0,5) + (5,95 * S + 0,46 * P) * G * f) * IS + N</t>
  </si>
  <si>
    <t>Zwangspunkte L+H</t>
  </si>
  <si>
    <t>mittel</t>
  </si>
  <si>
    <t>schwer</t>
  </si>
  <si>
    <t>Zwangspunkte Höhe</t>
  </si>
  <si>
    <t>Genauigkeit G</t>
  </si>
  <si>
    <t>ZP L+H gem. mit Geländeaufn.</t>
  </si>
  <si>
    <t>0,5mm</t>
  </si>
  <si>
    <t>3mm/5mm</t>
  </si>
  <si>
    <t>ZP Lage gem. mit Geländeaufn.</t>
  </si>
  <si>
    <t>7mm/7mm</t>
  </si>
  <si>
    <t>ZP Höhe gem. mit Geländeaufn.</t>
  </si>
  <si>
    <t>5mm</t>
  </si>
  <si>
    <t>10mm/10mm</t>
  </si>
  <si>
    <t>Soll-Ist-Vergl.: Punktkontrolle L+H</t>
  </si>
  <si>
    <t>20mm</t>
  </si>
  <si>
    <t>Soll-Ist-Vergl.: Punktkontrolle Lage</t>
  </si>
  <si>
    <t>50mm/50mm</t>
  </si>
  <si>
    <t>Soll-Ist-Vergl.: Punktkontrolle Höhe</t>
  </si>
  <si>
    <t>Präzisionsnivellement</t>
  </si>
  <si>
    <t>Technisches Nivellement</t>
  </si>
  <si>
    <t>max. Länge in [m] für n=1:</t>
  </si>
  <si>
    <t>Setzungsmessung, Flächennivellement</t>
  </si>
  <si>
    <t>Zu/Abschlag :</t>
  </si>
  <si>
    <t>Sommer</t>
  </si>
  <si>
    <t>H1 = Q x F2 x F4 x T x IS</t>
  </si>
  <si>
    <t>H2 = Q x F2 x F3 x T x IS</t>
  </si>
  <si>
    <t>Vollständigkeit der Auswertung digitaler Datensätze</t>
  </si>
  <si>
    <t>Vollständigkeit Digitale Orthophotos</t>
  </si>
  <si>
    <t>Reduktionsfaktor aus Tabelle 3.13d</t>
  </si>
  <si>
    <t>3 Digitale Orthophotos (DOP)</t>
  </si>
  <si>
    <t>Anzahl der Orthophotovorlagen</t>
  </si>
  <si>
    <t>Jahreszeit der Befliegung</t>
  </si>
  <si>
    <t>Befliegungsdauer pro Tag</t>
  </si>
  <si>
    <t>Zeitdauer der Befliegung</t>
  </si>
  <si>
    <t>Strukturierung der Oberfläche</t>
  </si>
  <si>
    <t>Objektivart bei der Befliegung</t>
  </si>
  <si>
    <t>H = n x 0,25 x IS  zuzügl. Ab-/Zuschläge</t>
  </si>
  <si>
    <t>fortlaufende Nummer</t>
  </si>
  <si>
    <t>LB_VG-Position</t>
  </si>
  <si>
    <t>alle Positionen anführen</t>
  </si>
  <si>
    <t>keine Rundung</t>
  </si>
  <si>
    <t>Rundung auf 10 Cent</t>
  </si>
  <si>
    <t>Rundung auf Euro</t>
  </si>
  <si>
    <t>Rundung auf 10 Euro</t>
  </si>
  <si>
    <t>Rundung auf 100 Euro</t>
  </si>
  <si>
    <t>Liste</t>
  </si>
  <si>
    <t>Pos. in</t>
  </si>
  <si>
    <t>vorhanden</t>
  </si>
  <si>
    <t>Kalk.</t>
  </si>
  <si>
    <t>kalkulierte Positionen anführen</t>
  </si>
  <si>
    <t>Preis</t>
  </si>
  <si>
    <t>Leistung</t>
  </si>
  <si>
    <t>Preis [€]</t>
  </si>
  <si>
    <t>Positionsbezeichnung:</t>
  </si>
  <si>
    <t>Positionsangaben:</t>
  </si>
  <si>
    <t>Rundung vornehmen:</t>
  </si>
  <si>
    <t>Zwischensumme:</t>
  </si>
  <si>
    <t>20% Mwst.</t>
  </si>
  <si>
    <t>Gesamthonorar brutto</t>
  </si>
  <si>
    <t xml:space="preserve">Pos.  </t>
  </si>
  <si>
    <t>* Weiße Felder des Eingabebereiches ausfüllen</t>
  </si>
  <si>
    <t>durchschnittlicher Punktabstand</t>
  </si>
  <si>
    <t xml:space="preserve">* n muss kleiner Ndp+Nds sein
* Nd muss kleiner Ndp+Nds sein
* Ndh muss kleiner Ndp+Nds sein
</t>
  </si>
  <si>
    <t>0,2625*Nds)*Potenz(n/((Ndp+Nds)/15);0,4))*G*(1+f)*D*IS+N</t>
  </si>
  <si>
    <t xml:space="preserve">    Anzahl der Standpunkte</t>
  </si>
  <si>
    <t>REGIELEISTUNGEN</t>
  </si>
  <si>
    <t>Kürzel</t>
  </si>
  <si>
    <t>Qualifikation/Beschreibung</t>
  </si>
  <si>
    <t>EP</t>
  </si>
  <si>
    <t>Messgehilfe</t>
  </si>
  <si>
    <t>Schreibkraft</t>
  </si>
  <si>
    <t>Geh.</t>
  </si>
  <si>
    <t>Techniker</t>
  </si>
  <si>
    <t>Tech.</t>
  </si>
  <si>
    <t>Ingenieur</t>
  </si>
  <si>
    <t>Ing.</t>
  </si>
  <si>
    <t>Ziviltechnikerleistung</t>
  </si>
  <si>
    <t>2-Mann-Partie inkl. Gerät</t>
  </si>
  <si>
    <t>1-Mann-Partie inkl. Gerät</t>
  </si>
  <si>
    <t>CAD-Auswertestunde</t>
  </si>
  <si>
    <t>CAD</t>
  </si>
  <si>
    <t>Einsatz</t>
  </si>
  <si>
    <t>Einsatzpauschale (20km An/Abfahrt)</t>
  </si>
  <si>
    <t>ZT.</t>
  </si>
  <si>
    <t>1MP.</t>
  </si>
  <si>
    <t>2MP.</t>
  </si>
  <si>
    <t>gesamt (€)</t>
  </si>
  <si>
    <t>Qual.</t>
  </si>
  <si>
    <t>Pos.</t>
  </si>
  <si>
    <t>Leistungsbeschreibung</t>
  </si>
  <si>
    <t>zusätzliches Gerät</t>
  </si>
  <si>
    <t>zus.Gerät</t>
  </si>
  <si>
    <t>Std./Anz.</t>
  </si>
  <si>
    <t>maxzeile:</t>
  </si>
  <si>
    <t>Vorzeile: Achtung &gt; innehalb der folgenden Tabelle dürfen keine Leerzeilen eingefügt werden!</t>
  </si>
  <si>
    <t>Kontrolle:</t>
  </si>
  <si>
    <t xml:space="preserve">Innerhalb dieses Registers können Profile mit bis zu 3 verschiedenen Geländeklassen/Schwierigkeitsstufen kalkuliert werden.
</t>
  </si>
  <si>
    <r>
      <t>Profillänge l</t>
    </r>
    <r>
      <rPr>
        <vertAlign val="subscript"/>
        <sz val="10"/>
        <color theme="1"/>
        <rFont val="Calibri"/>
        <family val="2"/>
        <scheme val="minor"/>
      </rPr>
      <t>i</t>
    </r>
    <r>
      <rPr>
        <sz val="10"/>
        <color theme="1"/>
        <rFont val="Calibri"/>
        <family val="2"/>
        <scheme val="minor"/>
      </rPr>
      <t xml:space="preserve"> (gesamt in [m])</t>
    </r>
  </si>
  <si>
    <r>
      <t xml:space="preserve">Mit
</t>
    </r>
    <r>
      <rPr>
        <i/>
        <sz val="11"/>
        <color theme="1"/>
        <rFont val="Calibri"/>
        <family val="2"/>
        <scheme val="minor"/>
      </rPr>
      <t xml:space="preserve">Start &gt; Format &gt; Zeilenhöhe automatisch anpassen </t>
    </r>
    <r>
      <rPr>
        <sz val="11"/>
        <color theme="1"/>
        <rFont val="Calibri"/>
        <family val="2"/>
        <scheme val="minor"/>
      </rPr>
      <t xml:space="preserve">
können mehrzeilige Leistungsbeschreibungen formatiert werden</t>
    </r>
  </si>
  <si>
    <t>Sek.</t>
  </si>
  <si>
    <t>3-dimensionale Modelle (nur Höhe)</t>
  </si>
  <si>
    <t>Gebirgstäler</t>
  </si>
  <si>
    <t>Vollständigkeit Flugkosten</t>
  </si>
  <si>
    <t>Nebenkosten:</t>
  </si>
  <si>
    <t>Amtsgebühren:</t>
  </si>
  <si>
    <t>Zu/Abschlag:</t>
  </si>
  <si>
    <t>H3 = Q x F2 x F3 x 0,7 x T x IS</t>
  </si>
  <si>
    <t>LAGE- und HÖHENPLAN</t>
  </si>
  <si>
    <t>3d-PLANERSTELLUNG auf Basis eines</t>
  </si>
  <si>
    <t>UMBILDUNG EINER GELÄNDEAUFNAHME</t>
  </si>
  <si>
    <t>NUTZFLÄCHENERMITTLUNG</t>
  </si>
  <si>
    <t>HERSTELLUNG VON BAUBESTANDSPLÄNEN</t>
  </si>
  <si>
    <t>ABSTECKUNGEN</t>
  </si>
  <si>
    <t>ACHSEINRECHNUNG und Berechnung</t>
  </si>
  <si>
    <t>STABILISIERUNG und SIGNALISIERUNG</t>
  </si>
  <si>
    <t>Beschreibung:</t>
  </si>
  <si>
    <t>Bruttogeschoßfläche allgemein:</t>
  </si>
  <si>
    <t>Bruttogeschoßfläche Keller:</t>
  </si>
  <si>
    <t>Bruttogeschoßfläche Dachboden:</t>
  </si>
  <si>
    <t>3.1</t>
  </si>
  <si>
    <t>4.1</t>
  </si>
  <si>
    <t>4.1.1</t>
  </si>
  <si>
    <t>4.1.3</t>
  </si>
  <si>
    <t>4.2</t>
  </si>
  <si>
    <t>4.3</t>
  </si>
  <si>
    <t>4.4</t>
  </si>
  <si>
    <t>4.4.2</t>
  </si>
  <si>
    <t>4.4.3</t>
  </si>
  <si>
    <t>4.7.1</t>
  </si>
  <si>
    <t>4.7.2</t>
  </si>
  <si>
    <t>4.7.3</t>
  </si>
  <si>
    <t>4.5</t>
  </si>
  <si>
    <t>4.6</t>
  </si>
  <si>
    <t>4.7</t>
  </si>
  <si>
    <t>4.7.4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</si>
  <si>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</si>
  <si>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</si>
  <si>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</si>
  <si>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</si>
  <si>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</si>
  <si>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</si>
  <si>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</si>
  <si>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</si>
  <si>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</si>
  <si>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6.1</t>
  </si>
  <si>
    <t>6.2</t>
  </si>
  <si>
    <t>6.3</t>
  </si>
  <si>
    <t>3. KATASTERVERMESSUNG</t>
  </si>
  <si>
    <t>4.1 - 4.3 Netzmessung, Polygonzug, …</t>
  </si>
  <si>
    <t>4.4 Bestimm. von Detailpunkten</t>
  </si>
  <si>
    <t>4.6 Nivellement</t>
  </si>
  <si>
    <t>4.7 Geländeaufnahme</t>
  </si>
  <si>
    <t>4.9 Bestandspläne</t>
  </si>
  <si>
    <t>4.10 Profile</t>
  </si>
  <si>
    <t>4.11 Absteckung</t>
  </si>
  <si>
    <t>4.12 Achseinrechnung</t>
  </si>
  <si>
    <t>4.13 Photogrammetrie</t>
  </si>
  <si>
    <t>4.15 Signalisierung und Stabilisierung</t>
  </si>
  <si>
    <t>4.4.1,  Deformationsmessung Lage und Höhe</t>
  </si>
  <si>
    <t>4.4.3,  Zwangspunkte (in Lage und Höhe)</t>
  </si>
  <si>
    <t>4.4.3,  Zwangspunkte (nur Lage)</t>
  </si>
  <si>
    <t>4.4.3,  Zwangspunkte (nur Höhe)</t>
  </si>
  <si>
    <t>4.4.3,  Zwangspunkte  (in Lage und Höhe gemeinsam mit Geländeaufnahme)</t>
  </si>
  <si>
    <t>4.4.3,  Zwangspunkte  (nur Lage -  gemeinsam mit Geländeaufnahme)</t>
  </si>
  <si>
    <t>4.4.3,  Zwangspunkte  (nur Höhe - gemeinsam mit Geländeaufnahme)</t>
  </si>
  <si>
    <t>4.4.4,  Kontrollaufnahme mit Soll-Ist-Vergleich  (in Lage und Höhe)</t>
  </si>
  <si>
    <t>4.4.4,  Kontrollaufnahme mit Soll-Ist-Vergleich (nur Lage)</t>
  </si>
  <si>
    <t>4.4.4,  Kontrollaufnahme mit Soll-Ist-Vergleich (nur Höhe)</t>
  </si>
  <si>
    <t>Tabelle 4.13d: Reduktionsfaktor T</t>
  </si>
  <si>
    <t>Tabelle 4.13c: Bearbeitungsfaktor F2</t>
  </si>
  <si>
    <t>1:1000 - 1:500 (4.7a)</t>
  </si>
  <si>
    <t>1:250 - 1:200 (4.7b)</t>
  </si>
  <si>
    <t>1:100 (zuschlag von 4.7b in %)</t>
  </si>
  <si>
    <t>1:100 (Zuschlag von 4.7b in %)</t>
  </si>
  <si>
    <t>LB_VG, Pos. 4.2, Einzelpunkteinschaltung</t>
  </si>
  <si>
    <t>LB_VG, Pos. 4.3, Kreisel-Stütz-Azimut</t>
  </si>
  <si>
    <t>LB_VG, Pos. 4.4.2,  Deformationsmessung Höhe (Setzungsmessung, Flächennivellement)</t>
  </si>
  <si>
    <t>LB_VG, Pos. 4.6,  Nivellement</t>
  </si>
  <si>
    <t>LB_VG, Pos. 4.7.1, Kombinierte Lage- und Höhenmessung - Geländeaufnahme</t>
  </si>
  <si>
    <t>LB_VG, Pos. 4.7.2, 3d-Planerstellung auf Basis eines 2,5d-Lage- und Höhenplanes</t>
  </si>
  <si>
    <t>LB_VG, Pos. 4.7.3, Umbildung einer Geländeaufnahme durch Maßstabsänderung</t>
  </si>
  <si>
    <t>LB_VG, Pos. 4.7.4, Umbildung einer Geländeaufnahme durch Maßstabsänderung</t>
  </si>
  <si>
    <t>LB_VG, Pos. 4.8, Nutzflächenermittlung</t>
  </si>
  <si>
    <t>LB_VG, Pos. 4.9, Herstellung von Baubestandsplänen</t>
  </si>
  <si>
    <t>LB_VG, Pos. 4.10, Herstellung von Profilen</t>
  </si>
  <si>
    <t>LB_VG, Pos. 4.11, Absteckungen</t>
  </si>
  <si>
    <t>LB_VG, Pos. 4.12, Achseinrechnung und Berechnung von Achszwischenpunkten</t>
  </si>
  <si>
    <t>LB_VG, Pos. 4.13, Photogrammetrie</t>
  </si>
  <si>
    <t>LB_VG, Pos. 4.15, Signalisierung und Stabilisierung</t>
  </si>
  <si>
    <t>LB_VG, Pos. 6.2,  Regieleistungen</t>
  </si>
  <si>
    <t>Überschriftszeile Druckbereich:</t>
  </si>
  <si>
    <t>Ergebniszeile Druckbereich</t>
  </si>
  <si>
    <t>Vollständigkeit</t>
  </si>
  <si>
    <t>Beratung</t>
  </si>
  <si>
    <t>Erhebungen bei Behörden und Ämtern</t>
  </si>
  <si>
    <t xml:space="preserve">Vertretung bei Behörden, Rechtsanwälten, Notar usw. </t>
  </si>
  <si>
    <t>Verfassen der Eingabe an eine Behörde</t>
  </si>
  <si>
    <t xml:space="preserve">Einholen von Informationen auf schriftlichem Wege, </t>
  </si>
  <si>
    <t>Einbringung ins und herunterladen aus dem Urkundenarchiv</t>
  </si>
  <si>
    <t>KANZLEIHONORARE</t>
  </si>
  <si>
    <t>K1</t>
  </si>
  <si>
    <t>K2</t>
  </si>
  <si>
    <t>K3</t>
  </si>
  <si>
    <t>K4</t>
  </si>
  <si>
    <t>K5</t>
  </si>
  <si>
    <t>K6</t>
  </si>
  <si>
    <t>LB_VG, Pos. 6.1,  Kanzleihonorare</t>
  </si>
  <si>
    <t>NEBENKOSTEN</t>
  </si>
  <si>
    <t>€</t>
  </si>
  <si>
    <t>LB_VG, Pos. 6.3,  Nebenkosten</t>
  </si>
  <si>
    <t>qualifizierter Ingenieur (Klasse V)</t>
  </si>
  <si>
    <t>qualifizierter Ingenieur (Klasse VI)</t>
  </si>
  <si>
    <t>qualifizierter Ingenieur (Klasse VII)</t>
  </si>
  <si>
    <t>Ing. VIII</t>
  </si>
  <si>
    <t>Ing. VII</t>
  </si>
  <si>
    <t>Ing. V</t>
  </si>
  <si>
    <t>4.1.2</t>
  </si>
  <si>
    <t>Netzmessung  (bis 600m durchschn. Seitenlänge)</t>
  </si>
  <si>
    <t>Netzmessung  (über 600m durchschn. Seitenlänge)</t>
  </si>
  <si>
    <t>4.4.1</t>
  </si>
  <si>
    <t>4.4.4</t>
  </si>
  <si>
    <t>Detailpunkte - Deformationsmessung</t>
  </si>
  <si>
    <t>Detailpunkte - Zwangspunkte</t>
  </si>
  <si>
    <t>Detailpunkte - Kontrollaufnahme (Soll-Ist-Vergleich)</t>
  </si>
  <si>
    <t>Nebenkosten in €</t>
  </si>
  <si>
    <t>2,5d-LH-Planes</t>
  </si>
  <si>
    <t>LASERSCANNING</t>
  </si>
  <si>
    <t>PUNKTBESTIMMUNG DURCH KINEMATISCHE GNSS-MESSUNG</t>
  </si>
  <si>
    <t>Amtsgebühren ohne Mwst.:</t>
  </si>
  <si>
    <t>neu</t>
  </si>
  <si>
    <t>LB_VG Pos.:</t>
  </si>
  <si>
    <t>(nicht enthalten im Standardleistungsverzeichnis)</t>
  </si>
  <si>
    <t xml:space="preserve">    Schwierigkeitsstufe</t>
  </si>
  <si>
    <t>Fläche</t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</si>
  <si>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=</t>
    </r>
  </si>
  <si>
    <t>Auswertung nach Lage und Höhe</t>
  </si>
  <si>
    <t>Auswertung nur nach Lage</t>
  </si>
  <si>
    <t>Auswertung 3-dimensionaler Modelle</t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</si>
  <si>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</si>
  <si>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=</t>
    </r>
  </si>
  <si>
    <t>Summe Q1, Q2, Q3</t>
  </si>
  <si>
    <t>qwe</t>
  </si>
  <si>
    <t>asd</t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</si>
  <si>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</t>
    </r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</si>
  <si>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</t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</si>
  <si>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:</t>
    </r>
  </si>
  <si>
    <t>% Abschlag</t>
  </si>
  <si>
    <t>Beschreibung Abschlag</t>
  </si>
  <si>
    <t>LBVG_III_R01a.xlsx</t>
  </si>
  <si>
    <t>Programmversion:</t>
  </si>
  <si>
    <t>Dimension der Auswertung:</t>
  </si>
  <si>
    <t>H = (3/Potenz(S;0,5) + (5,26 * S + 0,43 * P) * G * f) * IS + N</t>
  </si>
  <si>
    <t>LBVG_III_R01b.xlsx</t>
  </si>
  <si>
    <t>Ergänzung Formeltexte</t>
  </si>
  <si>
    <t>f = (0,8944 -        ) x 0,8944</t>
  </si>
  <si>
    <t>H = (1 + f) * F * (k * F+d) * E * IS+N</t>
  </si>
  <si>
    <t>Berechnungsart</t>
  </si>
  <si>
    <t>H = (3 + 6,67 * L + 2,20 * Lz + 2,94 * Lm + 0,48 * F * f + 7,63 * B + 2,52 * Bz) * K * IS + N</t>
  </si>
  <si>
    <t>Polynomfaktoren (Spalte nach Flächengröße)</t>
  </si>
  <si>
    <t>Berechnungsformel</t>
  </si>
  <si>
    <t>H = (1 + f) * F * (k * F + d) * E * 0,90 * IS + N</t>
  </si>
  <si>
    <t>H = (1 + f) * F * (k * F + d) * E * 0,95 * IS + N</t>
  </si>
  <si>
    <t>H = (1 + f) * F * (k * F + d) * E * 0,85 * IS + N</t>
  </si>
  <si>
    <t>H = F * (k * F + d) * E * IS * 0,40 + N</t>
  </si>
  <si>
    <t>H = F * (k * F + d) * E * IS * 0,30 + N</t>
  </si>
  <si>
    <t>Formel</t>
  </si>
  <si>
    <t>H = (0,025 F+ 6,5) * IS + N</t>
  </si>
  <si>
    <t>H = (0,040 F + 6,5) * IS + N</t>
  </si>
  <si>
    <t>verwendet</t>
  </si>
  <si>
    <t>Plan (ja/nein)</t>
  </si>
  <si>
    <t>Summe</t>
  </si>
  <si>
    <t>H = (F + 1,40 K + 1,20 D + 1,20 A) * M * IS + N</t>
  </si>
  <si>
    <t>Berechnungsformeln</t>
  </si>
  <si>
    <t>H = ( 2,5 * E + G * T * n * R ) * 1,10 * IS+ N</t>
  </si>
  <si>
    <t>H = ( 2,5 * E + G * T * n * R ) * IS + N</t>
  </si>
  <si>
    <t>H = g * f * L * d * IS + N</t>
  </si>
  <si>
    <t>H = [     (m * n) +      (v * E * n) ] * IS + N</t>
  </si>
  <si>
    <t>In den folgenden Formeln sind sämtliche Leistungen gemäß RVS 06.01.11, Pos. 3.1 bis 3.7 abgedeckt; Pos. 3.6 kann auch mit dem Standardleistungsverzeichnis RLVerm kalkuliert werden.</t>
  </si>
  <si>
    <t>Länge der Grenze im alten Stand [m]</t>
  </si>
  <si>
    <t>Anzahl der Grenzpunkte auf alten Grenzen</t>
  </si>
  <si>
    <t>Anzahl der Eigentümer</t>
  </si>
  <si>
    <t>Anzahl der zu vereinigenden Grundstücke</t>
  </si>
  <si>
    <t>Anzahl der Grundstücke im neuen Stand</t>
  </si>
  <si>
    <t>V</t>
  </si>
  <si>
    <t>Anzahl der Teilungsentwürfe</t>
  </si>
  <si>
    <t>Anzahl der Einreichungen</t>
  </si>
  <si>
    <r>
      <t>n</t>
    </r>
    <r>
      <rPr>
        <vertAlign val="subscript"/>
        <sz val="12"/>
        <rFont val="Times New Roman"/>
        <family val="1"/>
      </rPr>
      <t>1</t>
    </r>
  </si>
  <si>
    <r>
      <t>n</t>
    </r>
    <r>
      <rPr>
        <vertAlign val="subscript"/>
        <sz val="12"/>
        <rFont val="Times New Roman"/>
        <family val="1"/>
      </rPr>
      <t>2</t>
    </r>
  </si>
  <si>
    <r>
      <t>S</t>
    </r>
    <r>
      <rPr>
        <vertAlign val="subscript"/>
        <sz val="12"/>
        <rFont val="Times New Roman"/>
        <family val="1"/>
      </rPr>
      <t>1</t>
    </r>
  </si>
  <si>
    <r>
      <t>S</t>
    </r>
    <r>
      <rPr>
        <vertAlign val="subscript"/>
        <sz val="12"/>
        <rFont val="Times New Roman"/>
        <family val="1"/>
      </rPr>
      <t>2</t>
    </r>
  </si>
  <si>
    <r>
      <t>S</t>
    </r>
    <r>
      <rPr>
        <vertAlign val="subscript"/>
        <sz val="12"/>
        <rFont val="Times New Roman"/>
        <family val="1"/>
      </rPr>
      <t>3</t>
    </r>
  </si>
  <si>
    <r>
      <t>S</t>
    </r>
    <r>
      <rPr>
        <vertAlign val="subscript"/>
        <sz val="12"/>
        <rFont val="Times New Roman"/>
        <family val="1"/>
      </rPr>
      <t>4</t>
    </r>
  </si>
  <si>
    <r>
      <t>S</t>
    </r>
    <r>
      <rPr>
        <vertAlign val="subscript"/>
        <sz val="12"/>
        <rFont val="Times New Roman"/>
        <family val="1"/>
      </rPr>
      <t>5</t>
    </r>
  </si>
  <si>
    <r>
      <t>n</t>
    </r>
    <r>
      <rPr>
        <vertAlign val="subscript"/>
        <sz val="12"/>
        <rFont val="Times New Roman"/>
        <family val="1"/>
      </rPr>
      <t>3</t>
    </r>
  </si>
  <si>
    <r>
      <t>S</t>
    </r>
    <r>
      <rPr>
        <vertAlign val="subscript"/>
        <sz val="12"/>
        <rFont val="Times New Roman"/>
        <family val="1"/>
      </rPr>
      <t>6</t>
    </r>
  </si>
  <si>
    <r>
      <t>S</t>
    </r>
    <r>
      <rPr>
        <vertAlign val="subscript"/>
        <sz val="12"/>
        <rFont val="Times New Roman"/>
        <family val="1"/>
      </rPr>
      <t>7</t>
    </r>
  </si>
  <si>
    <r>
      <t>n</t>
    </r>
    <r>
      <rPr>
        <vertAlign val="subscript"/>
        <sz val="12"/>
        <rFont val="Times New Roman"/>
        <family val="1"/>
      </rPr>
      <t>4</t>
    </r>
  </si>
  <si>
    <r>
      <t>n</t>
    </r>
    <r>
      <rPr>
        <vertAlign val="subscript"/>
        <sz val="12"/>
        <rFont val="Times New Roman"/>
        <family val="1"/>
      </rPr>
      <t>5</t>
    </r>
  </si>
  <si>
    <r>
      <t>n</t>
    </r>
    <r>
      <rPr>
        <vertAlign val="subscript"/>
        <sz val="12"/>
        <rFont val="Times New Roman"/>
        <family val="1"/>
      </rPr>
      <t>6</t>
    </r>
  </si>
  <si>
    <t>[m]</t>
  </si>
  <si>
    <t>Geländeklasse und Schwierigkeitsstufe</t>
  </si>
  <si>
    <t>Aufnahme Naturbestand im Rahmen der Katastervermessung</t>
  </si>
  <si>
    <t>Grenzverhandlung</t>
  </si>
  <si>
    <t>Qualitätsverbesserungsplan</t>
  </si>
  <si>
    <t>Mappenberichtigung, Umwandlung</t>
  </si>
  <si>
    <t>Grundstücksvereinigung</t>
  </si>
  <si>
    <t>Plan für Grundstücksvereinigung erforderlich</t>
  </si>
  <si>
    <t>Grundteilung</t>
  </si>
  <si>
    <t>Durchschnittliche Größe der zur Gänze betroffenen Grundstücke</t>
  </si>
  <si>
    <r>
      <t>[m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]</t>
    </r>
  </si>
  <si>
    <r>
      <t>[€/m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]</t>
    </r>
  </si>
  <si>
    <t>MB</t>
  </si>
  <si>
    <t>Umw.</t>
  </si>
  <si>
    <t>N</t>
  </si>
  <si>
    <t>beides</t>
  </si>
  <si>
    <t>Kataster-Kategorie</t>
  </si>
  <si>
    <t>mittlere Qualität</t>
  </si>
  <si>
    <t>niedrige Qualität</t>
  </si>
  <si>
    <t>Kataster-Kategorie (Qualität der Grenzen)</t>
  </si>
  <si>
    <t>Verkehrswert der betroffenen Grundstücke</t>
  </si>
  <si>
    <t>N1</t>
  </si>
  <si>
    <t>N2</t>
  </si>
  <si>
    <t>N3</t>
  </si>
  <si>
    <r>
      <t>T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= (1+L/400+n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/10+n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/20)*K*(1+n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/20)</t>
    </r>
  </si>
  <si>
    <r>
      <t>T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(0,5+L/200+n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/100)*K+n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*(0,1+0,15*S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</si>
  <si>
    <r>
      <t>T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= 0,5+L/400+n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/12+n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*(0,05+S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/2)*K*E*(1+0,3*S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)</t>
    </r>
  </si>
  <si>
    <r>
      <t>T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= (L/200+n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/20+n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/20)*(S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+S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+S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+S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*S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)+(2*S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*WURZEL(n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)+WURZEL(n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*n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)/2</t>
    </r>
  </si>
  <si>
    <r>
      <t>T</t>
    </r>
    <r>
      <rPr>
        <vertAlign val="subscript"/>
        <sz val="10"/>
        <color theme="1"/>
        <rFont val="Calibri"/>
        <family val="2"/>
        <scheme val="minor"/>
      </rPr>
      <t xml:space="preserve">5 </t>
    </r>
    <r>
      <rPr>
        <sz val="10"/>
        <color theme="1"/>
        <rFont val="Calibri"/>
        <family val="2"/>
        <scheme val="minor"/>
      </rPr>
      <t>= 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+0,5*S</t>
    </r>
    <r>
      <rPr>
        <vertAlign val="subscript"/>
        <sz val="10"/>
        <color theme="1"/>
        <rFont val="Calibri"/>
        <family val="2"/>
        <scheme val="minor"/>
      </rPr>
      <t>2</t>
    </r>
  </si>
  <si>
    <r>
      <t>T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= (0,5+n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/2)*S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*(1+F/1000)*E</t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</si>
  <si>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1</t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</si>
  <si>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1</t>
    </r>
    <r>
      <rPr>
        <sz val="11"/>
        <color theme="0" tint="-0.249977111117893"/>
        <rFont val="Calibri"/>
        <family val="2"/>
        <scheme val="minor"/>
      </rPr>
      <t xml:space="preserve"> = (1+L/400+n</t>
    </r>
    <r>
      <rPr>
        <vertAlign val="subscript"/>
        <sz val="11"/>
        <color theme="0" tint="-0.249977111117893"/>
        <rFont val="Calibri"/>
        <family val="2"/>
        <scheme val="minor"/>
      </rPr>
      <t>1</t>
    </r>
    <r>
      <rPr>
        <sz val="11"/>
        <color theme="0" tint="-0.249977111117893"/>
        <rFont val="Calibri"/>
        <family val="2"/>
        <scheme val="minor"/>
      </rPr>
      <t>/10+n</t>
    </r>
    <r>
      <rPr>
        <vertAlign val="subscript"/>
        <sz val="11"/>
        <color theme="0" tint="-0.249977111117893"/>
        <rFont val="Calibri"/>
        <family val="2"/>
        <scheme val="minor"/>
      </rPr>
      <t>2</t>
    </r>
    <r>
      <rPr>
        <sz val="11"/>
        <color theme="0" tint="-0.249977111117893"/>
        <rFont val="Calibri"/>
        <family val="2"/>
        <scheme val="minor"/>
      </rPr>
      <t>/20)*K*(1+n</t>
    </r>
    <r>
      <rPr>
        <vertAlign val="subscript"/>
        <sz val="11"/>
        <color theme="0" tint="-0.249977111117893"/>
        <rFont val="Calibri"/>
        <family val="2"/>
        <scheme val="minor"/>
      </rPr>
      <t>6</t>
    </r>
    <r>
      <rPr>
        <sz val="11"/>
        <color theme="0" tint="-0.249977111117893"/>
        <rFont val="Calibri"/>
        <family val="2"/>
        <scheme val="minor"/>
      </rPr>
      <t>/20)</t>
    </r>
  </si>
  <si>
    <r>
      <t>n</t>
    </r>
    <r>
      <rPr>
        <vertAlign val="subscript"/>
        <sz val="12"/>
        <color theme="0" tint="-0.249977111117893"/>
        <rFont val="Times New Roman"/>
        <family val="1"/>
      </rPr>
      <t>1</t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</si>
  <si>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</si>
  <si>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2</t>
    </r>
    <r>
      <rPr>
        <sz val="11"/>
        <color theme="0" tint="-0.249977111117893"/>
        <rFont val="Calibri"/>
        <family val="2"/>
        <scheme val="minor"/>
      </rPr>
      <t xml:space="preserve"> = (0,5+L/200+n</t>
    </r>
    <r>
      <rPr>
        <vertAlign val="subscript"/>
        <sz val="11"/>
        <color theme="0" tint="-0.249977111117893"/>
        <rFont val="Calibri"/>
        <family val="2"/>
        <scheme val="minor"/>
      </rPr>
      <t>1</t>
    </r>
    <r>
      <rPr>
        <sz val="11"/>
        <color theme="0" tint="-0.249977111117893"/>
        <rFont val="Calibri"/>
        <family val="2"/>
        <scheme val="minor"/>
      </rPr>
      <t>/100)*K+n</t>
    </r>
    <r>
      <rPr>
        <vertAlign val="subscript"/>
        <sz val="11"/>
        <color theme="0" tint="-0.249977111117893"/>
        <rFont val="Calibri"/>
        <family val="2"/>
        <scheme val="minor"/>
      </rPr>
      <t>2</t>
    </r>
    <r>
      <rPr>
        <sz val="11"/>
        <color theme="0" tint="-0.249977111117893"/>
        <rFont val="Calibri"/>
        <family val="2"/>
        <scheme val="minor"/>
      </rPr>
      <t>*(0,1+0,15*S</t>
    </r>
    <r>
      <rPr>
        <vertAlign val="subscript"/>
        <sz val="11"/>
        <color theme="0" tint="-0.249977111117893"/>
        <rFont val="Calibri"/>
        <family val="2"/>
        <scheme val="minor"/>
      </rPr>
      <t>2</t>
    </r>
    <r>
      <rPr>
        <sz val="11"/>
        <color theme="0" tint="-0.249977111117893"/>
        <rFont val="Calibri"/>
        <family val="2"/>
        <scheme val="minor"/>
      </rPr>
      <t>)</t>
    </r>
  </si>
  <si>
    <r>
      <t>n</t>
    </r>
    <r>
      <rPr>
        <vertAlign val="subscript"/>
        <sz val="12"/>
        <color theme="0" tint="-0.249977111117893"/>
        <rFont val="Times New Roman"/>
        <family val="1"/>
      </rPr>
      <t>2</t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</si>
  <si>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</si>
  <si>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3</t>
    </r>
    <r>
      <rPr>
        <sz val="11"/>
        <color theme="0" tint="-0.249977111117893"/>
        <rFont val="Calibri"/>
        <family val="2"/>
        <scheme val="minor"/>
      </rPr>
      <t xml:space="preserve"> = (0,5+L/400+n</t>
    </r>
    <r>
      <rPr>
        <vertAlign val="subscript"/>
        <sz val="11"/>
        <color theme="0" tint="-0.249977111117893"/>
        <rFont val="Calibri"/>
        <family val="2"/>
        <scheme val="minor"/>
      </rPr>
      <t>1</t>
    </r>
    <r>
      <rPr>
        <sz val="11"/>
        <color theme="0" tint="-0.249977111117893"/>
        <rFont val="Calibri"/>
        <family val="2"/>
        <scheme val="minor"/>
      </rPr>
      <t>/12+n</t>
    </r>
    <r>
      <rPr>
        <vertAlign val="subscript"/>
        <sz val="11"/>
        <color theme="0" tint="-0.249977111117893"/>
        <rFont val="Calibri"/>
        <family val="2"/>
        <scheme val="minor"/>
      </rPr>
      <t>2</t>
    </r>
    <r>
      <rPr>
        <sz val="11"/>
        <color theme="0" tint="-0.249977111117893"/>
        <rFont val="Calibri"/>
        <family val="2"/>
        <scheme val="minor"/>
      </rPr>
      <t>*(0,05+S</t>
    </r>
    <r>
      <rPr>
        <vertAlign val="subscript"/>
        <sz val="11"/>
        <color theme="0" tint="-0.249977111117893"/>
        <rFont val="Calibri"/>
        <family val="2"/>
        <scheme val="minor"/>
      </rPr>
      <t>2</t>
    </r>
    <r>
      <rPr>
        <sz val="11"/>
        <color theme="0" tint="-0.249977111117893"/>
        <rFont val="Calibri"/>
        <family val="2"/>
        <scheme val="minor"/>
      </rPr>
      <t>/2))*K*E*(1+0,3*S</t>
    </r>
    <r>
      <rPr>
        <vertAlign val="subscript"/>
        <sz val="11"/>
        <color theme="0" tint="-0.249977111117893"/>
        <rFont val="Calibri"/>
        <family val="2"/>
        <scheme val="minor"/>
      </rPr>
      <t>1</t>
    </r>
    <r>
      <rPr>
        <sz val="11"/>
        <color theme="0" tint="-0.249977111117893"/>
        <rFont val="Calibri"/>
        <family val="2"/>
        <scheme val="minor"/>
      </rPr>
      <t>)</t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</si>
  <si>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</si>
  <si>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</si>
  <si>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 xml:space="preserve">5 </t>
    </r>
    <r>
      <rPr>
        <sz val="11"/>
        <color theme="0" tint="-0.249977111117893"/>
        <rFont val="Calibri"/>
        <family val="2"/>
        <scheme val="minor"/>
      </rPr>
      <t>= n</t>
    </r>
    <r>
      <rPr>
        <vertAlign val="subscript"/>
        <sz val="11"/>
        <color theme="0" tint="-0.249977111117893"/>
        <rFont val="Calibri"/>
        <family val="2"/>
        <scheme val="minor"/>
      </rPr>
      <t>6</t>
    </r>
    <r>
      <rPr>
        <sz val="11"/>
        <color theme="0" tint="-0.249977111117893"/>
        <rFont val="Calibri"/>
        <family val="2"/>
        <scheme val="minor"/>
      </rPr>
      <t>+0,5*S</t>
    </r>
    <r>
      <rPr>
        <vertAlign val="subscript"/>
        <sz val="11"/>
        <color theme="0" tint="-0.249977111117893"/>
        <rFont val="Calibri"/>
        <family val="2"/>
        <scheme val="minor"/>
      </rPr>
      <t>2</t>
    </r>
  </si>
  <si>
    <r>
      <t>S</t>
    </r>
    <r>
      <rPr>
        <vertAlign val="subscript"/>
        <sz val="12"/>
        <color theme="0" tint="-0.249977111117893"/>
        <rFont val="Times New Roman"/>
        <family val="1"/>
      </rPr>
      <t>1</t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</si>
  <si>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</si>
  <si>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6</t>
    </r>
    <r>
      <rPr>
        <sz val="11"/>
        <color theme="0" tint="-0.249977111117893"/>
        <rFont val="Calibri"/>
        <family val="2"/>
        <scheme val="minor"/>
      </rPr>
      <t xml:space="preserve"> = (0,5+n</t>
    </r>
    <r>
      <rPr>
        <vertAlign val="subscript"/>
        <sz val="11"/>
        <color theme="0" tint="-0.249977111117893"/>
        <rFont val="Calibri"/>
        <family val="2"/>
        <scheme val="minor"/>
      </rPr>
      <t>4</t>
    </r>
    <r>
      <rPr>
        <sz val="11"/>
        <color theme="0" tint="-0.249977111117893"/>
        <rFont val="Calibri"/>
        <family val="2"/>
        <scheme val="minor"/>
      </rPr>
      <t>/2)*S</t>
    </r>
    <r>
      <rPr>
        <vertAlign val="subscript"/>
        <sz val="11"/>
        <color theme="0" tint="-0.249977111117893"/>
        <rFont val="Calibri"/>
        <family val="2"/>
        <scheme val="minor"/>
      </rPr>
      <t>7</t>
    </r>
    <r>
      <rPr>
        <sz val="11"/>
        <color theme="0" tint="-0.249977111117893"/>
        <rFont val="Calibri"/>
        <family val="2"/>
        <scheme val="minor"/>
      </rPr>
      <t>*(1+F/1000)*E</t>
    </r>
  </si>
  <si>
    <r>
      <t>S</t>
    </r>
    <r>
      <rPr>
        <vertAlign val="subscript"/>
        <sz val="12"/>
        <color theme="0" tint="-0.249977111117893"/>
        <rFont val="Times New Roman"/>
        <family val="1"/>
      </rPr>
      <t>2</t>
    </r>
  </si>
  <si>
    <r>
      <t>S</t>
    </r>
    <r>
      <rPr>
        <vertAlign val="subscript"/>
        <sz val="12"/>
        <color theme="0" tint="-0.249977111117893"/>
        <rFont val="Times New Roman"/>
        <family val="1"/>
      </rPr>
      <t>3</t>
    </r>
  </si>
  <si>
    <r>
      <t>S</t>
    </r>
    <r>
      <rPr>
        <vertAlign val="subscript"/>
        <sz val="12"/>
        <color theme="0" tint="-0.249977111117893"/>
        <rFont val="Times New Roman"/>
        <family val="1"/>
      </rPr>
      <t>4</t>
    </r>
  </si>
  <si>
    <r>
      <t>S</t>
    </r>
    <r>
      <rPr>
        <vertAlign val="subscript"/>
        <sz val="12"/>
        <color theme="0" tint="-0.249977111117893"/>
        <rFont val="Times New Roman"/>
        <family val="1"/>
      </rPr>
      <t>5</t>
    </r>
  </si>
  <si>
    <r>
      <t>n</t>
    </r>
    <r>
      <rPr>
        <vertAlign val="subscript"/>
        <sz val="12"/>
        <color theme="0" tint="-0.249977111117893"/>
        <rFont val="Times New Roman"/>
        <family val="1"/>
      </rPr>
      <t>3</t>
    </r>
  </si>
  <si>
    <r>
      <t>S</t>
    </r>
    <r>
      <rPr>
        <vertAlign val="subscript"/>
        <sz val="12"/>
        <color theme="0" tint="-0.249977111117893"/>
        <rFont val="Times New Roman"/>
        <family val="1"/>
      </rPr>
      <t>6</t>
    </r>
  </si>
  <si>
    <r>
      <t>S</t>
    </r>
    <r>
      <rPr>
        <vertAlign val="subscript"/>
        <sz val="12"/>
        <color theme="0" tint="-0.249977111117893"/>
        <rFont val="Times New Roman"/>
        <family val="1"/>
      </rPr>
      <t>7</t>
    </r>
  </si>
  <si>
    <r>
      <t>n</t>
    </r>
    <r>
      <rPr>
        <vertAlign val="subscript"/>
        <sz val="12"/>
        <color theme="0" tint="-0.249977111117893"/>
        <rFont val="Times New Roman"/>
        <family val="1"/>
      </rPr>
      <t>4</t>
    </r>
  </si>
  <si>
    <r>
      <t>n</t>
    </r>
    <r>
      <rPr>
        <vertAlign val="subscript"/>
        <sz val="12"/>
        <color theme="0" tint="-0.249977111117893"/>
        <rFont val="Times New Roman"/>
        <family val="1"/>
      </rPr>
      <t>5</t>
    </r>
  </si>
  <si>
    <r>
      <t>n</t>
    </r>
    <r>
      <rPr>
        <vertAlign val="subscript"/>
        <sz val="12"/>
        <color theme="0" tint="-0.249977111117893"/>
        <rFont val="Times New Roman"/>
        <family val="1"/>
      </rPr>
      <t>6</t>
    </r>
  </si>
  <si>
    <t>LB_VG, Pos. 3.1, Tätigkeiten, die bei jeder Katastervermessung zu erfolgen haben</t>
  </si>
  <si>
    <t xml:space="preserve"> Tätigkeiten, die bei jeder Katastervermessung zu erfolgen haben</t>
  </si>
  <si>
    <t>LBVG_III_R01c.xlsx</t>
  </si>
  <si>
    <t>Überarbeitung Katastervermessung</t>
  </si>
  <si>
    <t>hohe Qualität</t>
  </si>
  <si>
    <r>
      <t>H =  (T</t>
    </r>
    <r>
      <rPr>
        <vertAlign val="subscript"/>
        <sz val="12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+ </t>
    </r>
    <r>
      <rPr>
        <sz val="12"/>
        <rFont val="Calibri"/>
        <family val="2"/>
        <scheme val="minor"/>
      </rPr>
      <t>T</t>
    </r>
    <r>
      <rPr>
        <vertAlign val="subscript"/>
        <sz val="12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+</t>
    </r>
    <r>
      <rPr>
        <sz val="12"/>
        <rFont val="Calibri"/>
        <family val="2"/>
        <scheme val="minor"/>
      </rPr>
      <t xml:space="preserve"> T</t>
    </r>
    <r>
      <rPr>
        <vertAlign val="subscript"/>
        <sz val="12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+</t>
    </r>
    <r>
      <rPr>
        <sz val="12"/>
        <rFont val="Calibri"/>
        <family val="2"/>
        <scheme val="minor"/>
      </rPr>
      <t xml:space="preserve"> T</t>
    </r>
    <r>
      <rPr>
        <vertAlign val="subscript"/>
        <sz val="12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+</t>
    </r>
    <r>
      <rPr>
        <sz val="12"/>
        <rFont val="Calibri"/>
        <family val="2"/>
        <scheme val="minor"/>
      </rPr>
      <t xml:space="preserve"> T</t>
    </r>
    <r>
      <rPr>
        <vertAlign val="subscript"/>
        <sz val="12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+</t>
    </r>
    <r>
      <rPr>
        <sz val="12"/>
        <rFont val="Calibri"/>
        <family val="2"/>
        <scheme val="minor"/>
      </rPr>
      <t xml:space="preserve"> T</t>
    </r>
    <r>
      <rPr>
        <vertAlign val="subscript"/>
        <sz val="12"/>
        <rFont val="Calibri"/>
        <family val="2"/>
        <scheme val="minor"/>
      </rPr>
      <t>6</t>
    </r>
    <r>
      <rPr>
        <sz val="12"/>
        <rFont val="Calibri"/>
        <family val="2"/>
        <scheme val="minor"/>
      </rPr>
      <t>) * IS + N</t>
    </r>
    <r>
      <rPr>
        <vertAlign val="sub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+ N</t>
    </r>
    <r>
      <rPr>
        <vertAlign val="subscript"/>
        <sz val="12"/>
        <rFont val="Calibri"/>
        <family val="2"/>
        <scheme val="minor"/>
      </rPr>
      <t>2</t>
    </r>
  </si>
  <si>
    <r>
      <t>Verkehrswert der betroffenen Grundstücke [€/m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]</t>
    </r>
  </si>
  <si>
    <r>
      <t>Durchschnittliche Größe der zur Gänze betroffenen Grundstücke [m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]</t>
    </r>
  </si>
  <si>
    <r>
      <t xml:space="preserve"> +WURZEL(n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)*S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*(1+S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/2)*(1+WURZEL(F*V)/100)</t>
    </r>
  </si>
  <si>
    <r>
      <t>T</t>
    </r>
    <r>
      <rPr>
        <vertAlign val="subscript"/>
        <sz val="11"/>
        <color theme="0" tint="-0.249977111117893"/>
        <rFont val="Calibri"/>
        <family val="2"/>
        <scheme val="minor"/>
      </rPr>
      <t>4</t>
    </r>
    <r>
      <rPr>
        <sz val="11"/>
        <color theme="0" tint="-0.249977111117893"/>
        <rFont val="Calibri"/>
        <family val="2"/>
        <scheme val="minor"/>
      </rPr>
      <t xml:space="preserve"> = (L/200+n1/20+n2/20)*(S1+S3+S4+S5*S6)+(2*S7*WURZEL(n4)+WURZEL(n4*n5)/2+WURZEL(n3)*S5*(1+S6/2))*(1+WURZEL(F*V)/100)</t>
    </r>
  </si>
  <si>
    <t>Fehlerbehebung in Register 3.1</t>
  </si>
  <si>
    <t>Aufschlag für höherwertiges Instrument</t>
  </si>
  <si>
    <t>Instr/CAD</t>
  </si>
  <si>
    <t>Instrument (Messgerät) oder CAD-Ausrüstung</t>
  </si>
  <si>
    <t>Instr+</t>
  </si>
  <si>
    <t>1MP</t>
  </si>
  <si>
    <t>2MP</t>
  </si>
  <si>
    <t>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</si>
</sst>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000"/>
    <numFmt numFmtId="165" formatCode="&quot;€&quot;\ #,##0.00"/>
    <numFmt numFmtId="166" formatCode="#,##0.00\ &quot;km&quot;"/>
    <numFmt numFmtId="167" formatCode="#0\ &quot;m&quot;"/>
    <numFmt numFmtId="168" formatCode="#,##0.0000"/>
    <numFmt numFmtId="169" formatCode="#,##0.00\ &quot;ha&quot;"/>
    <numFmt numFmtId="170" formatCode="&quot;€&quot;\ #,##0.00;\-\ &quot;€&quot;\ #,##0.00"/>
    <numFmt numFmtId="171" formatCode="&quot;€&quot;\ #,##0.0000;\-\ &quot;€&quot;\ #,##0.0000"/>
    <numFmt numFmtId="172" formatCode="#,##0.00\ &quot;Km&quot;"/>
    <numFmt numFmtId="173" formatCode="0.000"/>
    <numFmt numFmtId="174" formatCode="#,##0.00\ &quot;m²&quot;"/>
    <numFmt numFmtId="175" formatCode="0.00\ &quot;m²&quot;"/>
    <numFmt numFmtId="176" formatCode="0.00\ &quot;cm&quot;"/>
    <numFmt numFmtId="177" formatCode="0\ &quot;m&quot;"/>
    <numFmt numFmtId="178" formatCode="0.0"/>
    <numFmt numFmtId="179" formatCode="&quot;(alle&quot;\ #,##0\ &quot;m)&quot;"/>
    <numFmt numFmtId="180" formatCode="##0\ &quot;m²&quot;"/>
    <numFmt numFmtId="181" formatCode="0.000000"/>
    <numFmt numFmtId="182" formatCode="0.0\ &quot;Stunden&quot;"/>
    <numFmt numFmtId="183" formatCode="0.0\ &quot;cm&quot;"/>
  </numFmts>
  <fonts count="8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Cambria"/>
      <family val="1"/>
    </font>
    <font>
      <i/>
      <vertAlign val="subscript"/>
      <sz val="10"/>
      <color theme="1"/>
      <name val="Cambria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vertAlign val="subscript"/>
      <sz val="12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1"/>
      <color theme="0" tint="-0.499984740745262"/>
      <name val="Calibri"/>
      <family val="2"/>
      <scheme val="minor"/>
    </font>
    <font>
      <vertAlign val="subscript"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u/>
      <sz val="12"/>
      <color theme="0" tint="-0.499984740745262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u/>
      <sz val="12"/>
      <color theme="0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Times New Roman"/>
      <family val="1"/>
    </font>
    <font>
      <sz val="11"/>
      <color rgb="FF0000FF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Arial"/>
      <family val="2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Times New Roman"/>
      <family val="1"/>
    </font>
    <font>
      <sz val="10"/>
      <color rgb="FF00B05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vertAlign val="subscript"/>
      <sz val="11"/>
      <color theme="0" tint="-0.249977111117893"/>
      <name val="Calibri"/>
      <family val="2"/>
      <scheme val="minor"/>
    </font>
    <font>
      <vertAlign val="subscript"/>
      <sz val="12"/>
      <color theme="0" tint="-0.249977111117893"/>
      <name val="Times New Roman"/>
      <family val="1"/>
    </font>
    <font>
      <vertAlign val="superscript"/>
      <sz val="10"/>
      <name val="Calibri"/>
      <family val="2"/>
      <scheme val="minor"/>
    </font>
    <font>
      <sz val="11"/>
      <color rgb="FF92D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3">
    <xf numFmtId="0" fontId="0" fillId="0" borderId="0"/>
    <xf numFmtId="0" fontId="35" fillId="0" borderId="0"/>
    <xf numFmtId="0" fontId="46" fillId="0" borderId="0" applyNumberFormat="0" applyFill="0" applyBorder="0" applyAlignment="0" applyProtection="0"/>
  </cellStyleXfs>
  <cellXfs count="118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1" xfId="0" applyFont="1" applyBorder="1"/>
    <xf numFmtId="0" fontId="0" fillId="0" borderId="2" xfId="0" applyBorder="1"/>
    <xf numFmtId="0" fontId="0" fillId="0" borderId="0" xfId="0" applyAlignment="1"/>
    <xf numFmtId="0" fontId="2" fillId="0" borderId="1" xfId="0" applyFont="1" applyBorder="1" applyAlignment="1"/>
    <xf numFmtId="0" fontId="0" fillId="0" borderId="2" xfId="0" applyBorder="1" applyAlignment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Alignment="1">
      <alignment horizontal="left"/>
    </xf>
    <xf numFmtId="0" fontId="0" fillId="3" borderId="0" xfId="0" applyFill="1" applyBorder="1"/>
    <xf numFmtId="0" fontId="9" fillId="0" borderId="0" xfId="0" applyFont="1"/>
    <xf numFmtId="0" fontId="7" fillId="3" borderId="0" xfId="0" applyFont="1" applyFill="1"/>
    <xf numFmtId="0" fontId="7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10" fontId="7" fillId="4" borderId="0" xfId="0" applyNumberFormat="1" applyFont="1" applyFill="1" applyBorder="1" applyAlignment="1">
      <alignment vertical="center"/>
    </xf>
    <xf numFmtId="0" fontId="7" fillId="3" borderId="0" xfId="0" applyFont="1" applyFill="1" applyBorder="1"/>
    <xf numFmtId="0" fontId="0" fillId="0" borderId="0" xfId="0" applyFill="1" applyBorder="1"/>
    <xf numFmtId="0" fontId="7" fillId="4" borderId="0" xfId="0" applyFont="1" applyFill="1" applyBorder="1" applyAlignment="1">
      <alignment horizontal="left" vertical="center"/>
    </xf>
    <xf numFmtId="10" fontId="0" fillId="0" borderId="0" xfId="0" applyNumberFormat="1"/>
    <xf numFmtId="0" fontId="21" fillId="0" borderId="0" xfId="0" applyFont="1"/>
    <xf numFmtId="165" fontId="0" fillId="0" borderId="0" xfId="0" applyNumberFormat="1" applyAlignment="1">
      <alignment horizontal="right"/>
    </xf>
    <xf numFmtId="0" fontId="24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Border="1"/>
    <xf numFmtId="0" fontId="26" fillId="0" borderId="0" xfId="0" applyFont="1"/>
    <xf numFmtId="165" fontId="2" fillId="0" borderId="0" xfId="0" applyNumberFormat="1" applyFont="1" applyAlignment="1">
      <alignment horizontal="right"/>
    </xf>
    <xf numFmtId="0" fontId="33" fillId="0" borderId="0" xfId="0" applyFo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49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0" fillId="3" borderId="0" xfId="0" applyNumberFormat="1" applyFill="1" applyAlignment="1">
      <alignment horizontal="right"/>
    </xf>
    <xf numFmtId="0" fontId="2" fillId="3" borderId="0" xfId="0" applyFont="1" applyFill="1"/>
    <xf numFmtId="0" fontId="0" fillId="0" borderId="0" xfId="0" applyFont="1" applyFill="1"/>
    <xf numFmtId="0" fontId="0" fillId="3" borderId="0" xfId="0" applyFont="1" applyFill="1"/>
    <xf numFmtId="0" fontId="0" fillId="0" borderId="0" xfId="0" applyNumberFormat="1" applyAlignment="1">
      <alignment horizontal="right"/>
    </xf>
    <xf numFmtId="0" fontId="0" fillId="0" borderId="0" xfId="0" applyFont="1"/>
    <xf numFmtId="0" fontId="2" fillId="0" borderId="0" xfId="0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0" fillId="0" borderId="2" xfId="0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/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0" fontId="7" fillId="3" borderId="8" xfId="0" applyFont="1" applyFill="1" applyBorder="1"/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left" vertical="center"/>
    </xf>
    <xf numFmtId="0" fontId="2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11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17" fillId="3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167" fontId="3" fillId="3" borderId="8" xfId="0" applyNumberFormat="1" applyFont="1" applyFill="1" applyBorder="1" applyAlignment="1">
      <alignment horizontal="left" vertical="center"/>
    </xf>
    <xf numFmtId="10" fontId="7" fillId="4" borderId="8" xfId="0" applyNumberFormat="1" applyFont="1" applyFill="1" applyBorder="1" applyAlignment="1">
      <alignment vertical="center"/>
    </xf>
    <xf numFmtId="165" fontId="7" fillId="4" borderId="8" xfId="0" applyNumberFormat="1" applyFont="1" applyFill="1" applyBorder="1" applyAlignment="1">
      <alignment vertical="center"/>
    </xf>
    <xf numFmtId="165" fontId="7" fillId="3" borderId="8" xfId="0" applyNumberFormat="1" applyFont="1" applyFill="1" applyBorder="1" applyAlignment="1">
      <alignment vertical="center"/>
    </xf>
    <xf numFmtId="0" fontId="12" fillId="3" borderId="8" xfId="0" applyFont="1" applyFill="1" applyBorder="1"/>
    <xf numFmtId="0" fontId="0" fillId="0" borderId="6" xfId="0" applyBorder="1"/>
    <xf numFmtId="2" fontId="0" fillId="3" borderId="8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6" fillId="3" borderId="9" xfId="0" applyFont="1" applyFill="1" applyBorder="1" applyAlignment="1">
      <alignment horizontal="left" vertical="center"/>
    </xf>
    <xf numFmtId="0" fontId="36" fillId="3" borderId="10" xfId="0" applyFont="1" applyFill="1" applyBorder="1" applyAlignment="1">
      <alignment horizontal="left" vertical="center"/>
    </xf>
    <xf numFmtId="0" fontId="36" fillId="3" borderId="1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5" xfId="0" applyBorder="1"/>
    <xf numFmtId="0" fontId="0" fillId="0" borderId="25" xfId="0" applyBorder="1"/>
    <xf numFmtId="0" fontId="0" fillId="0" borderId="6" xfId="0" applyBorder="1" applyAlignment="1"/>
    <xf numFmtId="0" fontId="0" fillId="0" borderId="5" xfId="0" applyBorder="1" applyAlignment="1"/>
    <xf numFmtId="0" fontId="0" fillId="0" borderId="29" xfId="0" applyBorder="1"/>
    <xf numFmtId="0" fontId="2" fillId="0" borderId="30" xfId="0" applyFont="1" applyBorder="1"/>
    <xf numFmtId="0" fontId="15" fillId="7" borderId="26" xfId="0" applyFont="1" applyFill="1" applyBorder="1"/>
    <xf numFmtId="0" fontId="0" fillId="0" borderId="22" xfId="0" applyNumberFormat="1" applyBorder="1"/>
    <xf numFmtId="0" fontId="0" fillId="0" borderId="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2" xfId="0" applyNumberFormat="1" applyBorder="1"/>
    <xf numFmtId="0" fontId="0" fillId="0" borderId="33" xfId="0" applyNumberFormat="1" applyBorder="1"/>
    <xf numFmtId="0" fontId="2" fillId="0" borderId="34" xfId="0" applyFont="1" applyBorder="1"/>
    <xf numFmtId="0" fontId="2" fillId="0" borderId="22" xfId="0" applyFont="1" applyBorder="1"/>
    <xf numFmtId="0" fontId="2" fillId="0" borderId="32" xfId="0" applyFont="1" applyBorder="1"/>
    <xf numFmtId="0" fontId="0" fillId="7" borderId="27" xfId="0" applyNumberFormat="1" applyFill="1" applyBorder="1" applyAlignment="1"/>
    <xf numFmtId="49" fontId="0" fillId="0" borderId="0" xfId="0" applyNumberFormat="1"/>
    <xf numFmtId="49" fontId="0" fillId="0" borderId="0" xfId="0" applyNumberFormat="1" applyBorder="1"/>
    <xf numFmtId="0" fontId="0" fillId="0" borderId="0" xfId="0" applyNumberFormat="1" applyFill="1" applyBorder="1"/>
    <xf numFmtId="2" fontId="7" fillId="0" borderId="0" xfId="0" applyNumberFormat="1" applyFont="1" applyFill="1" applyBorder="1" applyAlignment="1">
      <alignment vertical="center"/>
    </xf>
    <xf numFmtId="2" fontId="7" fillId="3" borderId="4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0" fontId="37" fillId="0" borderId="0" xfId="0" applyFont="1"/>
    <xf numFmtId="0" fontId="37" fillId="0" borderId="0" xfId="0" applyFont="1" applyFill="1" applyAlignment="1">
      <alignment vertical="top" wrapText="1"/>
    </xf>
    <xf numFmtId="0" fontId="37" fillId="0" borderId="0" xfId="0" applyFont="1" applyAlignment="1">
      <alignment horizontal="right" vertical="center"/>
    </xf>
    <xf numFmtId="4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vertical="center"/>
    </xf>
    <xf numFmtId="168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/>
    </xf>
    <xf numFmtId="0" fontId="40" fillId="0" borderId="0" xfId="0" applyFont="1"/>
    <xf numFmtId="0" fontId="41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1" fillId="0" borderId="0" xfId="0" applyFont="1"/>
    <xf numFmtId="0" fontId="37" fillId="0" borderId="0" xfId="0" applyNumberFormat="1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Fill="1" applyBorder="1"/>
    <xf numFmtId="167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Alignment="1">
      <alignment horizontal="right"/>
    </xf>
    <xf numFmtId="0" fontId="7" fillId="0" borderId="0" xfId="0" applyFont="1"/>
    <xf numFmtId="10" fontId="0" fillId="0" borderId="0" xfId="0" applyNumberFormat="1" applyFont="1"/>
    <xf numFmtId="0" fontId="42" fillId="0" borderId="0" xfId="0" applyFont="1"/>
    <xf numFmtId="165" fontId="42" fillId="0" borderId="0" xfId="0" applyNumberFormat="1" applyFont="1"/>
    <xf numFmtId="2" fontId="0" fillId="0" borderId="0" xfId="0" applyNumberFormat="1" applyFont="1" applyAlignment="1">
      <alignment horizontal="right"/>
    </xf>
    <xf numFmtId="0" fontId="0" fillId="0" borderId="6" xfId="0" applyFont="1" applyBorder="1"/>
    <xf numFmtId="165" fontId="7" fillId="0" borderId="0" xfId="0" applyNumberFormat="1" applyFont="1" applyAlignment="1">
      <alignment horizontal="right"/>
    </xf>
    <xf numFmtId="0" fontId="43" fillId="0" borderId="0" xfId="0" applyFont="1"/>
    <xf numFmtId="0" fontId="44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4" fillId="0" borderId="0" xfId="0" applyFont="1"/>
    <xf numFmtId="170" fontId="0" fillId="0" borderId="0" xfId="0" applyNumberFormat="1" applyFont="1" applyAlignment="1">
      <alignment horizontal="right"/>
    </xf>
    <xf numFmtId="171" fontId="37" fillId="0" borderId="0" xfId="0" applyNumberFormat="1" applyFont="1" applyAlignment="1">
      <alignment horizontal="right"/>
    </xf>
    <xf numFmtId="171" fontId="40" fillId="0" borderId="0" xfId="0" applyNumberFormat="1" applyFont="1" applyAlignment="1">
      <alignment horizontal="right"/>
    </xf>
    <xf numFmtId="169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166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right"/>
    </xf>
    <xf numFmtId="169" fontId="0" fillId="0" borderId="0" xfId="0" applyNumberFormat="1" applyFont="1" applyBorder="1" applyAlignment="1">
      <alignment horizontal="left"/>
    </xf>
    <xf numFmtId="166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right"/>
    </xf>
    <xf numFmtId="169" fontId="0" fillId="0" borderId="6" xfId="0" applyNumberFormat="1" applyFont="1" applyFill="1" applyBorder="1" applyAlignment="1">
      <alignment horizontal="left"/>
    </xf>
    <xf numFmtId="0" fontId="0" fillId="0" borderId="6" xfId="0" applyFont="1" applyFill="1" applyBorder="1" applyAlignment="1">
      <alignment horizontal="right"/>
    </xf>
    <xf numFmtId="166" fontId="0" fillId="0" borderId="6" xfId="0" applyNumberFormat="1" applyFont="1" applyFill="1" applyBorder="1" applyAlignment="1">
      <alignment horizontal="left"/>
    </xf>
    <xf numFmtId="0" fontId="0" fillId="0" borderId="6" xfId="0" applyFont="1" applyFill="1" applyBorder="1"/>
    <xf numFmtId="0" fontId="15" fillId="0" borderId="0" xfId="0" applyFont="1" applyFill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0" fillId="0" borderId="0" xfId="0" applyFill="1" applyBorder="1" applyAlignment="1"/>
    <xf numFmtId="2" fontId="37" fillId="0" borderId="0" xfId="0" applyNumberFormat="1" applyFont="1" applyAlignment="1">
      <alignment vertical="center"/>
    </xf>
    <xf numFmtId="0" fontId="45" fillId="0" borderId="0" xfId="0" applyFont="1"/>
    <xf numFmtId="172" fontId="0" fillId="0" borderId="0" xfId="0" applyNumberFormat="1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172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2" fontId="0" fillId="0" borderId="0" xfId="0" applyNumberFormat="1" applyBorder="1"/>
    <xf numFmtId="2" fontId="7" fillId="0" borderId="0" xfId="0" applyNumberFormat="1" applyFont="1" applyFill="1" applyBorder="1" applyAlignment="1">
      <alignment horizontal="left" vertical="center"/>
    </xf>
    <xf numFmtId="2" fontId="7" fillId="3" borderId="0" xfId="0" applyNumberFormat="1" applyFont="1" applyFill="1" applyBorder="1" applyAlignment="1">
      <alignment vertical="center"/>
    </xf>
    <xf numFmtId="0" fontId="37" fillId="0" borderId="0" xfId="0" applyFont="1" applyFill="1" applyAlignment="1">
      <alignment horizontal="left" vertical="top" wrapText="1"/>
    </xf>
    <xf numFmtId="0" fontId="37" fillId="0" borderId="0" xfId="0" applyNumberFormat="1" applyFont="1" applyFill="1" applyAlignment="1">
      <alignment horizontal="left"/>
    </xf>
    <xf numFmtId="0" fontId="37" fillId="0" borderId="0" xfId="0" applyFont="1" applyAlignment="1"/>
    <xf numFmtId="4" fontId="37" fillId="0" borderId="0" xfId="0" applyNumberFormat="1" applyFont="1" applyAlignment="1">
      <alignment vertical="center"/>
    </xf>
    <xf numFmtId="168" fontId="37" fillId="0" borderId="0" xfId="0" applyNumberFormat="1" applyFont="1" applyAlignment="1">
      <alignment vertical="center"/>
    </xf>
    <xf numFmtId="16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right"/>
    </xf>
    <xf numFmtId="169" fontId="0" fillId="0" borderId="5" xfId="0" applyNumberFormat="1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Border="1"/>
    <xf numFmtId="170" fontId="0" fillId="0" borderId="5" xfId="0" applyNumberFormat="1" applyFont="1" applyBorder="1" applyAlignment="1">
      <alignment horizontal="right"/>
    </xf>
    <xf numFmtId="170" fontId="0" fillId="0" borderId="0" xfId="0" applyNumberFormat="1" applyFont="1" applyBorder="1" applyAlignment="1">
      <alignment horizontal="right"/>
    </xf>
    <xf numFmtId="2" fontId="0" fillId="0" borderId="0" xfId="0" applyNumberFormat="1" applyFont="1"/>
    <xf numFmtId="0" fontId="15" fillId="0" borderId="0" xfId="0" applyFont="1" applyFill="1"/>
    <xf numFmtId="173" fontId="37" fillId="0" borderId="0" xfId="0" applyNumberFormat="1" applyFont="1" applyAlignment="1">
      <alignment vertical="center"/>
    </xf>
    <xf numFmtId="2" fontId="37" fillId="0" borderId="0" xfId="0" applyNumberFormat="1" applyFont="1" applyBorder="1" applyAlignment="1">
      <alignment vertical="center"/>
    </xf>
    <xf numFmtId="2" fontId="37" fillId="0" borderId="0" xfId="0" applyNumberFormat="1" applyFont="1" applyAlignment="1">
      <alignment horizontal="right"/>
    </xf>
    <xf numFmtId="0" fontId="0" fillId="0" borderId="5" xfId="0" applyFont="1" applyFill="1" applyBorder="1" applyAlignment="1">
      <alignment horizontal="right"/>
    </xf>
    <xf numFmtId="172" fontId="0" fillId="0" borderId="5" xfId="0" applyNumberFormat="1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7" fillId="3" borderId="11" xfId="0" applyFont="1" applyFill="1" applyBorder="1" applyAlignment="1">
      <alignment vertical="center"/>
    </xf>
    <xf numFmtId="174" fontId="0" fillId="0" borderId="0" xfId="0" applyNumberFormat="1" applyFont="1" applyFill="1" applyBorder="1"/>
    <xf numFmtId="174" fontId="0" fillId="0" borderId="5" xfId="0" applyNumberFormat="1" applyFont="1" applyFill="1" applyBorder="1"/>
    <xf numFmtId="174" fontId="0" fillId="0" borderId="0" xfId="0" applyNumberFormat="1" applyFont="1"/>
    <xf numFmtId="0" fontId="37" fillId="0" borderId="0" xfId="0" applyFont="1" applyFill="1" applyAlignment="1">
      <alignment horizontal="left" vertical="top"/>
    </xf>
    <xf numFmtId="0" fontId="45" fillId="0" borderId="0" xfId="0" applyFont="1" applyFill="1" applyBorder="1"/>
    <xf numFmtId="0" fontId="45" fillId="0" borderId="5" xfId="0" applyFont="1" applyFill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vertical="center"/>
    </xf>
    <xf numFmtId="2" fontId="7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 wrapText="1"/>
    </xf>
    <xf numFmtId="173" fontId="0" fillId="0" borderId="0" xfId="0" applyNumberFormat="1" applyBorder="1"/>
    <xf numFmtId="173" fontId="0" fillId="0" borderId="23" xfId="0" applyNumberFormat="1" applyBorder="1"/>
    <xf numFmtId="173" fontId="0" fillId="0" borderId="5" xfId="0" applyNumberFormat="1" applyBorder="1"/>
    <xf numFmtId="173" fontId="0" fillId="0" borderId="25" xfId="0" applyNumberFormat="1" applyBorder="1"/>
    <xf numFmtId="1" fontId="0" fillId="0" borderId="21" xfId="0" applyNumberFormat="1" applyBorder="1"/>
    <xf numFmtId="1" fontId="0" fillId="0" borderId="23" xfId="0" applyNumberFormat="1" applyBorder="1"/>
    <xf numFmtId="1" fontId="0" fillId="0" borderId="0" xfId="0" applyNumberFormat="1" applyBorder="1"/>
    <xf numFmtId="1" fontId="0" fillId="0" borderId="0" xfId="0" applyNumberFormat="1" applyFill="1" applyBorder="1" applyAlignment="1"/>
    <xf numFmtId="1" fontId="0" fillId="0" borderId="20" xfId="0" applyNumberFormat="1" applyBorder="1"/>
    <xf numFmtId="1" fontId="0" fillId="0" borderId="22" xfId="0" applyNumberFormat="1" applyBorder="1"/>
    <xf numFmtId="1" fontId="0" fillId="0" borderId="22" xfId="0" applyNumberFormat="1" applyFill="1" applyBorder="1" applyAlignment="1"/>
    <xf numFmtId="1" fontId="0" fillId="0" borderId="24" xfId="0" applyNumberFormat="1" applyFill="1" applyBorder="1" applyAlignment="1"/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vertical="center"/>
    </xf>
    <xf numFmtId="174" fontId="0" fillId="0" borderId="0" xfId="0" applyNumberFormat="1" applyFont="1" applyFill="1" applyBorder="1" applyAlignment="1">
      <alignment horizontal="right"/>
    </xf>
    <xf numFmtId="174" fontId="0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vertical="center"/>
    </xf>
    <xf numFmtId="175" fontId="0" fillId="0" borderId="0" xfId="0" applyNumberFormat="1" applyFont="1" applyFill="1" applyBorder="1" applyAlignment="1">
      <alignment horizontal="right"/>
    </xf>
    <xf numFmtId="175" fontId="0" fillId="0" borderId="6" xfId="0" applyNumberFormat="1" applyFont="1" applyFill="1" applyBorder="1" applyAlignment="1">
      <alignment horizontal="right"/>
    </xf>
    <xf numFmtId="0" fontId="0" fillId="0" borderId="0" xfId="0" applyFont="1" applyAlignment="1"/>
    <xf numFmtId="0" fontId="37" fillId="0" borderId="0" xfId="0" applyFont="1" applyFill="1" applyAlignment="1">
      <alignment vertical="top"/>
    </xf>
    <xf numFmtId="0" fontId="40" fillId="0" borderId="0" xfId="0" applyFont="1" applyAlignment="1"/>
    <xf numFmtId="0" fontId="44" fillId="0" borderId="0" xfId="0" applyFont="1" applyAlignment="1"/>
    <xf numFmtId="0" fontId="41" fillId="0" borderId="0" xfId="0" applyFont="1" applyAlignment="1"/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173" fontId="0" fillId="0" borderId="0" xfId="0" applyNumberFormat="1" applyBorder="1" applyAlignment="1">
      <alignment horizontal="left"/>
    </xf>
    <xf numFmtId="173" fontId="0" fillId="0" borderId="23" xfId="0" applyNumberFormat="1" applyBorder="1" applyAlignment="1">
      <alignment horizontal="left"/>
    </xf>
    <xf numFmtId="173" fontId="0" fillId="0" borderId="5" xfId="0" applyNumberFormat="1" applyBorder="1" applyAlignment="1">
      <alignment horizontal="left"/>
    </xf>
    <xf numFmtId="173" fontId="0" fillId="0" borderId="25" xfId="0" applyNumberFormat="1" applyBorder="1" applyAlignment="1">
      <alignment horizontal="left"/>
    </xf>
    <xf numFmtId="1" fontId="0" fillId="0" borderId="20" xfId="0" applyNumberFormat="1" applyFill="1" applyBorder="1" applyAlignment="1">
      <alignment horizontal="left"/>
    </xf>
    <xf numFmtId="1" fontId="0" fillId="0" borderId="21" xfId="0" applyNumberFormat="1" applyFill="1" applyBorder="1" applyAlignment="1">
      <alignment horizontal="left"/>
    </xf>
    <xf numFmtId="1" fontId="0" fillId="0" borderId="22" xfId="0" applyNumberFormat="1" applyFill="1" applyBorder="1" applyAlignment="1">
      <alignment horizontal="left"/>
    </xf>
    <xf numFmtId="1" fontId="0" fillId="0" borderId="23" xfId="0" applyNumberFormat="1" applyFill="1" applyBorder="1" applyAlignment="1">
      <alignment horizontal="left"/>
    </xf>
    <xf numFmtId="1" fontId="0" fillId="0" borderId="24" xfId="0" applyNumberFormat="1" applyFill="1" applyBorder="1" applyAlignment="1">
      <alignment horizontal="left"/>
    </xf>
    <xf numFmtId="1" fontId="0" fillId="0" borderId="25" xfId="0" applyNumberFormat="1" applyFill="1" applyBorder="1" applyAlignment="1">
      <alignment horizontal="left"/>
    </xf>
    <xf numFmtId="2" fontId="0" fillId="0" borderId="0" xfId="0" applyNumberFormat="1"/>
    <xf numFmtId="2" fontId="0" fillId="0" borderId="23" xfId="0" applyNumberFormat="1" applyBorder="1"/>
    <xf numFmtId="2" fontId="0" fillId="0" borderId="25" xfId="0" applyNumberFormat="1" applyBorder="1"/>
    <xf numFmtId="0" fontId="7" fillId="0" borderId="15" xfId="0" applyFont="1" applyFill="1" applyBorder="1" applyAlignment="1">
      <alignment vertical="center"/>
    </xf>
    <xf numFmtId="177" fontId="7" fillId="0" borderId="15" xfId="0" applyNumberFormat="1" applyFont="1" applyFill="1" applyBorder="1" applyAlignment="1">
      <alignment vertical="center"/>
    </xf>
    <xf numFmtId="0" fontId="37" fillId="0" borderId="0" xfId="0" applyNumberFormat="1" applyFont="1" applyFill="1" applyAlignment="1">
      <alignment vertical="center"/>
    </xf>
    <xf numFmtId="0" fontId="37" fillId="0" borderId="0" xfId="0" applyNumberFormat="1" applyFont="1" applyFill="1" applyAlignment="1">
      <alignment horizontal="left" vertical="center"/>
    </xf>
    <xf numFmtId="2" fontId="37" fillId="0" borderId="0" xfId="0" applyNumberFormat="1" applyFont="1" applyFill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right" vertical="center"/>
    </xf>
    <xf numFmtId="1" fontId="7" fillId="3" borderId="40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167" fontId="0" fillId="0" borderId="0" xfId="0" applyNumberFormat="1" applyFont="1" applyAlignment="1">
      <alignment horizontal="center"/>
    </xf>
    <xf numFmtId="167" fontId="0" fillId="0" borderId="5" xfId="0" applyNumberFormat="1" applyFont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49" fontId="0" fillId="0" borderId="22" xfId="0" applyNumberFormat="1" applyBorder="1"/>
    <xf numFmtId="49" fontId="0" fillId="0" borderId="24" xfId="0" applyNumberForma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7" fillId="3" borderId="11" xfId="0" applyFont="1" applyFill="1" applyBorder="1"/>
    <xf numFmtId="0" fontId="7" fillId="3" borderId="11" xfId="0" applyFont="1" applyFill="1" applyBorder="1" applyAlignment="1">
      <alignment horizontal="left" vertical="center"/>
    </xf>
    <xf numFmtId="179" fontId="7" fillId="3" borderId="0" xfId="0" applyNumberFormat="1" applyFont="1" applyFill="1" applyBorder="1" applyAlignment="1">
      <alignment horizontal="left" vertical="center"/>
    </xf>
    <xf numFmtId="178" fontId="37" fillId="0" borderId="0" xfId="0" applyNumberFormat="1" applyFont="1" applyAlignment="1">
      <alignment horizontal="right" vertical="center"/>
    </xf>
    <xf numFmtId="0" fontId="37" fillId="0" borderId="0" xfId="0" applyNumberFormat="1" applyFont="1" applyFill="1" applyAlignment="1">
      <alignment horizontal="right" vertical="center"/>
    </xf>
    <xf numFmtId="172" fontId="0" fillId="0" borderId="0" xfId="0" applyNumberFormat="1" applyFont="1" applyFill="1" applyBorder="1"/>
    <xf numFmtId="0" fontId="45" fillId="0" borderId="6" xfId="0" applyFont="1" applyFill="1" applyBorder="1" applyAlignment="1">
      <alignment vertical="center" wrapText="1"/>
    </xf>
    <xf numFmtId="172" fontId="45" fillId="0" borderId="6" xfId="0" applyNumberFormat="1" applyFont="1" applyFill="1" applyBorder="1" applyAlignment="1">
      <alignment vertical="center" wrapText="1"/>
    </xf>
    <xf numFmtId="179" fontId="0" fillId="0" borderId="0" xfId="0" applyNumberFormat="1" applyFont="1" applyFill="1" applyBorder="1" applyAlignment="1">
      <alignment horizontal="left"/>
    </xf>
    <xf numFmtId="172" fontId="0" fillId="0" borderId="6" xfId="0" applyNumberFormat="1" applyFont="1" applyFill="1" applyBorder="1" applyAlignment="1">
      <alignment vertical="center" wrapText="1"/>
    </xf>
    <xf numFmtId="167" fontId="0" fillId="0" borderId="0" xfId="0" applyNumberFormat="1" applyFont="1" applyBorder="1" applyAlignment="1">
      <alignment horizontal="center"/>
    </xf>
    <xf numFmtId="17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/>
    <xf numFmtId="0" fontId="0" fillId="0" borderId="22" xfId="0" applyBorder="1" applyAlignment="1"/>
    <xf numFmtId="0" fontId="0" fillId="0" borderId="24" xfId="0" applyBorder="1" applyAlignment="1"/>
    <xf numFmtId="0" fontId="3" fillId="3" borderId="15" xfId="0" applyFont="1" applyFill="1" applyBorder="1" applyAlignment="1">
      <alignment vertical="center" wrapText="1"/>
    </xf>
    <xf numFmtId="0" fontId="0" fillId="0" borderId="22" xfId="0" applyFill="1" applyBorder="1" applyAlignment="1"/>
    <xf numFmtId="0" fontId="0" fillId="0" borderId="24" xfId="0" applyFill="1" applyBorder="1" applyAlignment="1"/>
    <xf numFmtId="0" fontId="13" fillId="0" borderId="15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vertical="center" wrapText="1"/>
    </xf>
    <xf numFmtId="0" fontId="47" fillId="3" borderId="0" xfId="0" applyFont="1" applyFill="1" applyBorder="1" applyAlignment="1">
      <alignment horizontal="right" vertical="center" wrapText="1"/>
    </xf>
    <xf numFmtId="0" fontId="47" fillId="3" borderId="0" xfId="0" applyFont="1" applyFill="1" applyBorder="1" applyAlignment="1">
      <alignment horizontal="right" wrapText="1"/>
    </xf>
    <xf numFmtId="0" fontId="47" fillId="3" borderId="16" xfId="0" applyFont="1" applyFill="1" applyBorder="1" applyAlignment="1">
      <alignment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48" fillId="0" borderId="0" xfId="0" applyFont="1" applyAlignment="1"/>
    <xf numFmtId="0" fontId="48" fillId="0" borderId="0" xfId="0" applyNumberFormat="1" applyFont="1" applyFill="1" applyAlignment="1">
      <alignment horizontal="left"/>
    </xf>
    <xf numFmtId="0" fontId="48" fillId="0" borderId="0" xfId="0" applyFont="1" applyAlignment="1">
      <alignment vertical="center"/>
    </xf>
    <xf numFmtId="0" fontId="48" fillId="0" borderId="0" xfId="0" applyNumberFormat="1" applyFont="1" applyFill="1" applyAlignment="1">
      <alignment vertical="center"/>
    </xf>
    <xf numFmtId="2" fontId="48" fillId="0" borderId="0" xfId="0" applyNumberFormat="1" applyFont="1" applyFill="1" applyAlignment="1">
      <alignment horizontal="right" vertical="center"/>
    </xf>
    <xf numFmtId="4" fontId="48" fillId="0" borderId="0" xfId="0" applyNumberFormat="1" applyFont="1" applyAlignment="1">
      <alignment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right"/>
    </xf>
    <xf numFmtId="0" fontId="48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2" fontId="0" fillId="0" borderId="5" xfId="0" applyNumberFormat="1" applyBorder="1"/>
    <xf numFmtId="164" fontId="48" fillId="0" borderId="0" xfId="0" applyNumberFormat="1" applyFont="1" applyAlignment="1"/>
    <xf numFmtId="0" fontId="15" fillId="0" borderId="0" xfId="0" applyFont="1" applyAlignment="1">
      <alignment vertical="center" wrapText="1"/>
    </xf>
    <xf numFmtId="0" fontId="3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3" fillId="3" borderId="39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0" fontId="47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vertical="center"/>
    </xf>
    <xf numFmtId="170" fontId="0" fillId="0" borderId="0" xfId="0" applyNumberFormat="1" applyFont="1" applyAlignment="1">
      <alignment horizontal="left"/>
    </xf>
    <xf numFmtId="172" fontId="7" fillId="0" borderId="0" xfId="0" applyNumberFormat="1" applyFont="1" applyFill="1" applyBorder="1" applyAlignment="1">
      <alignment vertical="center"/>
    </xf>
    <xf numFmtId="172" fontId="7" fillId="0" borderId="41" xfId="0" applyNumberFormat="1" applyFont="1" applyFill="1" applyBorder="1" applyAlignment="1">
      <alignment vertical="center"/>
    </xf>
    <xf numFmtId="172" fontId="7" fillId="3" borderId="15" xfId="0" applyNumberFormat="1" applyFont="1" applyFill="1" applyBorder="1" applyAlignment="1">
      <alignment vertical="center"/>
    </xf>
    <xf numFmtId="1" fontId="0" fillId="0" borderId="23" xfId="0" applyNumberFormat="1" applyFill="1" applyBorder="1"/>
    <xf numFmtId="1" fontId="0" fillId="0" borderId="25" xfId="0" applyNumberFormat="1" applyFill="1" applyBorder="1"/>
    <xf numFmtId="1" fontId="0" fillId="0" borderId="6" xfId="0" applyNumberFormat="1" applyBorder="1"/>
    <xf numFmtId="1" fontId="0" fillId="0" borderId="5" xfId="0" applyNumberFormat="1" applyFill="1" applyBorder="1" applyAlignment="1"/>
    <xf numFmtId="0" fontId="0" fillId="0" borderId="0" xfId="0" applyBorder="1" applyAlignment="1">
      <alignment vertical="center"/>
    </xf>
    <xf numFmtId="173" fontId="37" fillId="0" borderId="0" xfId="0" applyNumberFormat="1" applyFont="1" applyBorder="1" applyAlignment="1">
      <alignment vertical="center"/>
    </xf>
    <xf numFmtId="173" fontId="37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0" fontId="37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center"/>
    </xf>
    <xf numFmtId="49" fontId="0" fillId="3" borderId="0" xfId="0" applyNumberFormat="1" applyFill="1" applyAlignment="1">
      <alignment horizontal="right"/>
    </xf>
    <xf numFmtId="49" fontId="0" fillId="0" borderId="0" xfId="0" applyNumberFormat="1" applyAlignment="1">
      <alignment horizontal="right"/>
    </xf>
    <xf numFmtId="181" fontId="50" fillId="0" borderId="0" xfId="0" applyNumberFormat="1" applyFont="1" applyAlignment="1">
      <alignment horizontal="left"/>
    </xf>
    <xf numFmtId="0" fontId="50" fillId="0" borderId="0" xfId="0" applyFont="1" applyAlignment="1">
      <alignment horizontal="right"/>
    </xf>
    <xf numFmtId="0" fontId="50" fillId="0" borderId="0" xfId="0" applyFont="1"/>
    <xf numFmtId="181" fontId="50" fillId="0" borderId="0" xfId="0" applyNumberFormat="1" applyFont="1"/>
    <xf numFmtId="2" fontId="13" fillId="3" borderId="8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1" fontId="0" fillId="3" borderId="8" xfId="0" applyNumberForma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/>
    <xf numFmtId="0" fontId="7" fillId="4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right" vertical="center"/>
    </xf>
    <xf numFmtId="167" fontId="7" fillId="4" borderId="8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44" xfId="0" applyBorder="1"/>
    <xf numFmtId="0" fontId="0" fillId="0" borderId="45" xfId="0" applyBorder="1"/>
    <xf numFmtId="0" fontId="4" fillId="2" borderId="35" xfId="0" applyFont="1" applyFill="1" applyBorder="1" applyAlignment="1">
      <alignment horizontal="center" vertical="center" wrapText="1"/>
    </xf>
    <xf numFmtId="0" fontId="51" fillId="2" borderId="35" xfId="0" applyFont="1" applyFill="1" applyBorder="1" applyAlignment="1">
      <alignment horizontal="justify" vertical="center" wrapText="1"/>
    </xf>
    <xf numFmtId="0" fontId="0" fillId="3" borderId="48" xfId="0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0" fontId="51" fillId="0" borderId="37" xfId="0" applyFont="1" applyBorder="1" applyAlignment="1">
      <alignment horizontal="justify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4" fontId="0" fillId="0" borderId="0" xfId="0" applyNumberFormat="1"/>
    <xf numFmtId="0" fontId="52" fillId="0" borderId="0" xfId="0" applyFont="1"/>
    <xf numFmtId="0" fontId="2" fillId="0" borderId="55" xfId="0" applyFont="1" applyBorder="1"/>
    <xf numFmtId="0" fontId="53" fillId="0" borderId="0" xfId="0" applyFont="1"/>
    <xf numFmtId="49" fontId="0" fillId="0" borderId="0" xfId="0" applyNumberFormat="1" applyAlignment="1"/>
    <xf numFmtId="0" fontId="4" fillId="0" borderId="0" xfId="0" applyFont="1" applyAlignment="1">
      <alignment horizontal="justify" vertical="center"/>
    </xf>
    <xf numFmtId="0" fontId="46" fillId="0" borderId="0" xfId="2" applyFill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0" fillId="0" borderId="0" xfId="0" applyFill="1"/>
    <xf numFmtId="0" fontId="9" fillId="0" borderId="0" xfId="0" applyFont="1"/>
    <xf numFmtId="0" fontId="17" fillId="0" borderId="0" xfId="0" applyFont="1" applyAlignment="1">
      <alignment vertical="center"/>
    </xf>
    <xf numFmtId="166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17" fillId="0" borderId="0" xfId="0" applyFont="1" applyFill="1" applyBorder="1" applyAlignment="1">
      <alignment horizontal="right" vertical="center"/>
    </xf>
    <xf numFmtId="167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0" fontId="0" fillId="0" borderId="0" xfId="0" applyNumberFormat="1"/>
    <xf numFmtId="0" fontId="21" fillId="0" borderId="0" xfId="0" applyFont="1"/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24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Border="1"/>
    <xf numFmtId="0" fontId="26" fillId="0" borderId="0" xfId="0" applyFo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right" vertical="center"/>
    </xf>
    <xf numFmtId="4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168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left"/>
    </xf>
    <xf numFmtId="0" fontId="32" fillId="0" borderId="0" xfId="0" applyFont="1"/>
    <xf numFmtId="165" fontId="2" fillId="0" borderId="0" xfId="0" applyNumberFormat="1" applyFont="1" applyAlignment="1">
      <alignment horizontal="right"/>
    </xf>
    <xf numFmtId="0" fontId="33" fillId="0" borderId="0" xfId="0" applyFont="1"/>
    <xf numFmtId="0" fontId="34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34" fillId="0" borderId="0" xfId="0" applyFont="1"/>
    <xf numFmtId="0" fontId="0" fillId="3" borderId="0" xfId="0" applyNumberFormat="1" applyFill="1" applyAlignment="1">
      <alignment horizontal="right"/>
    </xf>
    <xf numFmtId="0" fontId="0" fillId="0" borderId="0" xfId="0" applyFont="1"/>
    <xf numFmtId="0" fontId="7" fillId="3" borderId="8" xfId="0" applyFont="1" applyFill="1" applyBorder="1"/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20" fillId="3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11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167" fontId="3" fillId="3" borderId="8" xfId="0" applyNumberFormat="1" applyFont="1" applyFill="1" applyBorder="1" applyAlignment="1">
      <alignment horizontal="left" vertical="center"/>
    </xf>
    <xf numFmtId="10" fontId="7" fillId="4" borderId="8" xfId="0" applyNumberFormat="1" applyFont="1" applyFill="1" applyBorder="1" applyAlignment="1">
      <alignment vertical="center"/>
    </xf>
    <xf numFmtId="165" fontId="7" fillId="4" borderId="8" xfId="0" applyNumberFormat="1" applyFont="1" applyFill="1" applyBorder="1" applyAlignment="1">
      <alignment vertical="center"/>
    </xf>
    <xf numFmtId="165" fontId="7" fillId="3" borderId="8" xfId="0" applyNumberFormat="1" applyFont="1" applyFill="1" applyBorder="1" applyAlignment="1">
      <alignment vertical="center"/>
    </xf>
    <xf numFmtId="0" fontId="12" fillId="3" borderId="8" xfId="0" applyFont="1" applyFill="1" applyBorder="1"/>
    <xf numFmtId="0" fontId="0" fillId="0" borderId="6" xfId="0" applyBorder="1"/>
    <xf numFmtId="2" fontId="0" fillId="3" borderId="8" xfId="0" applyNumberFormat="1" applyFill="1" applyBorder="1" applyAlignment="1">
      <alignment horizontal="center" vertical="center"/>
    </xf>
    <xf numFmtId="0" fontId="36" fillId="3" borderId="9" xfId="0" applyFont="1" applyFill="1" applyBorder="1" applyAlignment="1">
      <alignment horizontal="left" vertical="center"/>
    </xf>
    <xf numFmtId="0" fontId="36" fillId="3" borderId="10" xfId="0" applyFont="1" applyFill="1" applyBorder="1" applyAlignment="1">
      <alignment horizontal="left" vertical="center"/>
    </xf>
    <xf numFmtId="0" fontId="36" fillId="3" borderId="11" xfId="0" applyFont="1" applyFill="1" applyBorder="1" applyAlignment="1">
      <alignment horizontal="left" vertical="center"/>
    </xf>
    <xf numFmtId="0" fontId="27" fillId="0" borderId="0" xfId="0" applyNumberFormat="1" applyFont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166" fontId="3" fillId="0" borderId="5" xfId="0" applyNumberFormat="1" applyFont="1" applyBorder="1" applyAlignment="1">
      <alignment horizontal="left"/>
    </xf>
    <xf numFmtId="167" fontId="7" fillId="4" borderId="8" xfId="0" applyNumberFormat="1" applyFont="1" applyFill="1" applyBorder="1" applyAlignment="1">
      <alignment horizontal="left" vertical="center"/>
    </xf>
    <xf numFmtId="167" fontId="0" fillId="0" borderId="0" xfId="0" applyNumberFormat="1" applyAlignment="1">
      <alignment horizontal="left"/>
    </xf>
    <xf numFmtId="167" fontId="0" fillId="0" borderId="0" xfId="0" applyNumberFormat="1" applyFill="1" applyAlignment="1">
      <alignment horizontal="left"/>
    </xf>
    <xf numFmtId="173" fontId="0" fillId="0" borderId="0" xfId="0" applyNumberFormat="1" applyAlignment="1">
      <alignment vertical="center"/>
    </xf>
    <xf numFmtId="167" fontId="27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3" borderId="8" xfId="0" applyNumberForma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50" fillId="0" borderId="0" xfId="0" applyFont="1"/>
    <xf numFmtId="1" fontId="3" fillId="3" borderId="8" xfId="0" applyNumberFormat="1" applyFont="1" applyFill="1" applyBorder="1" applyAlignment="1">
      <alignment horizontal="right" vertical="center"/>
    </xf>
    <xf numFmtId="166" fontId="7" fillId="4" borderId="8" xfId="0" applyNumberFormat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vertical="center"/>
    </xf>
    <xf numFmtId="1" fontId="50" fillId="0" borderId="0" xfId="0" applyNumberFormat="1" applyFont="1"/>
    <xf numFmtId="173" fontId="50" fillId="0" borderId="0" xfId="0" applyNumberFormat="1" applyFont="1"/>
    <xf numFmtId="0" fontId="15" fillId="0" borderId="0" xfId="0" applyFont="1" applyAlignment="1">
      <alignment vertical="center"/>
    </xf>
    <xf numFmtId="2" fontId="0" fillId="0" borderId="0" xfId="0" applyNumberFormat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right" vertical="center"/>
    </xf>
    <xf numFmtId="2" fontId="15" fillId="0" borderId="8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right" vertical="center"/>
    </xf>
    <xf numFmtId="0" fontId="3" fillId="0" borderId="38" xfId="0" applyFont="1" applyFill="1" applyBorder="1" applyAlignment="1">
      <alignment vertical="top"/>
    </xf>
    <xf numFmtId="0" fontId="3" fillId="0" borderId="38" xfId="0" applyFont="1" applyFill="1" applyBorder="1" applyAlignment="1"/>
    <xf numFmtId="165" fontId="0" fillId="0" borderId="0" xfId="0" applyNumberFormat="1"/>
    <xf numFmtId="0" fontId="3" fillId="0" borderId="16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right" vertical="top"/>
    </xf>
    <xf numFmtId="0" fontId="3" fillId="0" borderId="38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 vertical="top"/>
    </xf>
    <xf numFmtId="0" fontId="3" fillId="3" borderId="38" xfId="0" applyFont="1" applyFill="1" applyBorder="1" applyAlignment="1">
      <alignment vertical="center"/>
    </xf>
    <xf numFmtId="0" fontId="7" fillId="0" borderId="38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2" fontId="7" fillId="3" borderId="38" xfId="0" applyNumberFormat="1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vertical="center"/>
    </xf>
    <xf numFmtId="2" fontId="7" fillId="0" borderId="3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3" borderId="8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  <xf numFmtId="0" fontId="36" fillId="3" borderId="12" xfId="0" applyFont="1" applyFill="1" applyBorder="1" applyAlignment="1">
      <alignment horizontal="left" vertical="center"/>
    </xf>
    <xf numFmtId="2" fontId="17" fillId="3" borderId="8" xfId="0" applyNumberFormat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top"/>
    </xf>
    <xf numFmtId="0" fontId="15" fillId="0" borderId="8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right" vertical="center"/>
    </xf>
    <xf numFmtId="165" fontId="0" fillId="0" borderId="0" xfId="0" applyNumberFormat="1" applyFont="1" applyAlignment="1">
      <alignment horizontal="right"/>
    </xf>
    <xf numFmtId="166" fontId="7" fillId="0" borderId="38" xfId="0" applyNumberFormat="1" applyFont="1" applyFill="1" applyBorder="1" applyAlignment="1">
      <alignment horizontal="center" vertical="center"/>
    </xf>
    <xf numFmtId="3" fontId="7" fillId="0" borderId="38" xfId="0" applyNumberFormat="1" applyFont="1" applyFill="1" applyBorder="1" applyAlignment="1">
      <alignment horizontal="center" vertical="center"/>
    </xf>
    <xf numFmtId="0" fontId="8" fillId="0" borderId="0" xfId="0" applyFont="1"/>
    <xf numFmtId="173" fontId="37" fillId="0" borderId="0" xfId="0" applyNumberFormat="1" applyFont="1" applyFill="1" applyAlignment="1">
      <alignment vertical="center"/>
    </xf>
    <xf numFmtId="2" fontId="37" fillId="0" borderId="0" xfId="0" applyNumberFormat="1" applyFont="1" applyAlignment="1">
      <alignment horizontal="right" vertical="center"/>
    </xf>
    <xf numFmtId="173" fontId="0" fillId="0" borderId="0" xfId="0" applyNumberFormat="1" applyBorder="1" applyAlignment="1"/>
    <xf numFmtId="173" fontId="0" fillId="0" borderId="5" xfId="0" applyNumberFormat="1" applyBorder="1" applyAlignment="1"/>
    <xf numFmtId="10" fontId="7" fillId="4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9" fontId="0" fillId="0" borderId="0" xfId="0" applyNumberFormat="1"/>
    <xf numFmtId="0" fontId="7" fillId="3" borderId="8" xfId="0" applyFont="1" applyFill="1" applyBorder="1" applyProtection="1">
      <protection locked="0"/>
    </xf>
    <xf numFmtId="0" fontId="0" fillId="0" borderId="0" xfId="0" applyProtection="1"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36" fillId="3" borderId="9" xfId="0" applyFont="1" applyFill="1" applyBorder="1" applyAlignment="1" applyProtection="1">
      <alignment horizontal="left" vertical="center"/>
      <protection locked="0"/>
    </xf>
    <xf numFmtId="0" fontId="36" fillId="3" borderId="10" xfId="0" applyFont="1" applyFill="1" applyBorder="1" applyAlignment="1" applyProtection="1">
      <alignment horizontal="left" vertical="center"/>
      <protection locked="0"/>
    </xf>
    <xf numFmtId="0" fontId="36" fillId="3" borderId="11" xfId="0" applyFont="1" applyFill="1" applyBorder="1" applyAlignment="1" applyProtection="1">
      <alignment horizontal="left" vertical="center"/>
      <protection locked="0"/>
    </xf>
    <xf numFmtId="0" fontId="21" fillId="3" borderId="38" xfId="0" applyFont="1" applyFill="1" applyBorder="1" applyAlignment="1" applyProtection="1">
      <alignment vertical="center"/>
      <protection locked="0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vertical="center"/>
      <protection locked="0"/>
    </xf>
    <xf numFmtId="165" fontId="33" fillId="3" borderId="38" xfId="0" applyNumberFormat="1" applyFont="1" applyFill="1" applyBorder="1" applyAlignment="1" applyProtection="1">
      <alignment horizontal="right" vertical="center"/>
    </xf>
    <xf numFmtId="0" fontId="43" fillId="3" borderId="8" xfId="0" applyFont="1" applyFill="1" applyBorder="1" applyProtection="1">
      <protection locked="0"/>
    </xf>
    <xf numFmtId="0" fontId="0" fillId="3" borderId="8" xfId="0" applyFont="1" applyFill="1" applyBorder="1" applyAlignment="1" applyProtection="1">
      <alignment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166" fontId="3" fillId="4" borderId="9" xfId="0" applyNumberFormat="1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right" vertical="center"/>
      <protection locked="0"/>
    </xf>
    <xf numFmtId="3" fontId="15" fillId="4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 applyProtection="1">
      <alignment horizontal="left" vertical="center"/>
      <protection locked="0"/>
    </xf>
    <xf numFmtId="0" fontId="15" fillId="3" borderId="10" xfId="0" applyFont="1" applyFill="1" applyBorder="1" applyAlignment="1" applyProtection="1">
      <alignment horizontal="right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50" fillId="0" borderId="0" xfId="0" applyFont="1" applyProtection="1">
      <protection locked="0"/>
    </xf>
    <xf numFmtId="10" fontId="17" fillId="4" borderId="8" xfId="0" applyNumberFormat="1" applyFont="1" applyFill="1" applyBorder="1" applyAlignment="1" applyProtection="1">
      <alignment vertical="center"/>
      <protection locked="0"/>
    </xf>
    <xf numFmtId="0" fontId="54" fillId="0" borderId="0" xfId="0" applyFont="1" applyProtection="1">
      <protection locked="0"/>
    </xf>
    <xf numFmtId="1" fontId="50" fillId="0" borderId="0" xfId="0" applyNumberFormat="1" applyFont="1" applyProtection="1">
      <protection locked="0"/>
    </xf>
    <xf numFmtId="0" fontId="11" fillId="3" borderId="8" xfId="0" applyFont="1" applyFill="1" applyBorder="1" applyAlignment="1" applyProtection="1">
      <alignment vertical="center"/>
    </xf>
    <xf numFmtId="0" fontId="15" fillId="3" borderId="8" xfId="0" applyFont="1" applyFill="1" applyBorder="1" applyAlignment="1" applyProtection="1">
      <alignment vertical="center"/>
      <protection locked="0"/>
    </xf>
    <xf numFmtId="173" fontId="50" fillId="0" borderId="0" xfId="0" applyNumberFormat="1" applyFont="1" applyProtection="1">
      <protection locked="0"/>
    </xf>
    <xf numFmtId="166" fontId="17" fillId="4" borderId="8" xfId="0" applyNumberFormat="1" applyFont="1" applyFill="1" applyBorder="1" applyAlignment="1" applyProtection="1">
      <alignment horizontal="right" vertical="center"/>
      <protection locked="0"/>
    </xf>
    <xf numFmtId="167" fontId="15" fillId="3" borderId="8" xfId="0" applyNumberFormat="1" applyFont="1" applyFill="1" applyBorder="1" applyAlignment="1" applyProtection="1">
      <alignment horizontal="left" vertical="center"/>
      <protection locked="0"/>
    </xf>
    <xf numFmtId="0" fontId="9" fillId="3" borderId="8" xfId="0" applyFont="1" applyFill="1" applyBorder="1" applyAlignment="1" applyProtection="1">
      <alignment vertical="center"/>
      <protection locked="0"/>
    </xf>
    <xf numFmtId="0" fontId="17" fillId="3" borderId="8" xfId="0" applyFont="1" applyFill="1" applyBorder="1" applyAlignment="1" applyProtection="1">
      <alignment vertical="center"/>
      <protection locked="0"/>
    </xf>
    <xf numFmtId="169" fontId="15" fillId="4" borderId="8" xfId="0" applyNumberFormat="1" applyFont="1" applyFill="1" applyBorder="1" applyAlignment="1" applyProtection="1">
      <alignment horizontal="right" vertical="center"/>
      <protection locked="0"/>
    </xf>
    <xf numFmtId="9" fontId="17" fillId="3" borderId="8" xfId="0" applyNumberFormat="1" applyFont="1" applyFill="1" applyBorder="1" applyAlignment="1" applyProtection="1">
      <alignment horizontal="center" vertical="center"/>
      <protection locked="0"/>
    </xf>
    <xf numFmtId="9" fontId="17" fillId="3" borderId="8" xfId="0" applyNumberFormat="1" applyFont="1" applyFill="1" applyBorder="1" applyAlignment="1" applyProtection="1">
      <alignment horizontal="center" vertical="center"/>
    </xf>
    <xf numFmtId="0" fontId="50" fillId="0" borderId="0" xfId="0" applyFont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righ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167" fontId="3" fillId="3" borderId="8" xfId="0" applyNumberFormat="1" applyFont="1" applyFill="1" applyBorder="1" applyAlignment="1" applyProtection="1">
      <alignment horizontal="left" vertical="center"/>
      <protection locked="0"/>
    </xf>
    <xf numFmtId="0" fontId="17" fillId="3" borderId="9" xfId="0" applyFont="1" applyFill="1" applyBorder="1" applyAlignment="1" applyProtection="1">
      <alignment horizontal="right" vertical="center"/>
      <protection locked="0"/>
    </xf>
    <xf numFmtId="167" fontId="3" fillId="3" borderId="11" xfId="0" applyNumberFormat="1" applyFont="1" applyFill="1" applyBorder="1" applyAlignment="1" applyProtection="1">
      <alignment horizontal="left" vertical="center"/>
      <protection locked="0"/>
    </xf>
    <xf numFmtId="10" fontId="7" fillId="4" borderId="8" xfId="0" applyNumberFormat="1" applyFont="1" applyFill="1" applyBorder="1" applyAlignment="1" applyProtection="1">
      <alignment vertical="center"/>
      <protection locked="0"/>
    </xf>
    <xf numFmtId="165" fontId="7" fillId="4" borderId="8" xfId="0" applyNumberFormat="1" applyFont="1" applyFill="1" applyBorder="1" applyAlignment="1" applyProtection="1">
      <alignment vertical="center"/>
      <protection locked="0"/>
    </xf>
    <xf numFmtId="165" fontId="7" fillId="3" borderId="8" xfId="0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0" fontId="21" fillId="0" borderId="0" xfId="0" applyNumberFormat="1" applyFont="1" applyProtection="1"/>
    <xf numFmtId="165" fontId="2" fillId="0" borderId="0" xfId="0" applyNumberFormat="1" applyFont="1" applyAlignment="1" applyProtection="1">
      <alignment horizontal="right"/>
    </xf>
    <xf numFmtId="0" fontId="19" fillId="0" borderId="0" xfId="0" applyFont="1" applyProtection="1"/>
    <xf numFmtId="0" fontId="49" fillId="0" borderId="0" xfId="0" applyFont="1" applyAlignment="1" applyProtection="1">
      <alignment vertical="center"/>
    </xf>
    <xf numFmtId="0" fontId="0" fillId="0" borderId="0" xfId="0" applyBorder="1" applyProtection="1"/>
    <xf numFmtId="0" fontId="21" fillId="0" borderId="16" xfId="0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3" fillId="0" borderId="0" xfId="0" applyFont="1" applyBorder="1" applyProtection="1"/>
    <xf numFmtId="2" fontId="3" fillId="0" borderId="0" xfId="0" applyNumberFormat="1" applyFont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/>
    </xf>
    <xf numFmtId="1" fontId="3" fillId="0" borderId="0" xfId="0" applyNumberFormat="1" applyFont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/>
    <xf numFmtId="2" fontId="3" fillId="0" borderId="0" xfId="0" applyNumberFormat="1" applyFont="1" applyBorder="1" applyAlignment="1" applyProtection="1">
      <alignment horizontal="left"/>
    </xf>
    <xf numFmtId="0" fontId="3" fillId="0" borderId="0" xfId="0" applyFont="1" applyAlignment="1" applyProtection="1"/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10" fontId="3" fillId="0" borderId="0" xfId="0" applyNumberFormat="1" applyFont="1" applyBorder="1" applyAlignment="1" applyProtection="1">
      <alignment horizontal="center" vertical="top"/>
    </xf>
    <xf numFmtId="0" fontId="2" fillId="0" borderId="0" xfId="0" applyFont="1" applyProtection="1"/>
    <xf numFmtId="0" fontId="17" fillId="0" borderId="0" xfId="0" applyFont="1" applyAlignment="1" applyProtection="1">
      <alignment vertical="center"/>
    </xf>
    <xf numFmtId="10" fontId="0" fillId="0" borderId="0" xfId="0" applyNumberFormat="1" applyProtection="1"/>
    <xf numFmtId="0" fontId="55" fillId="0" borderId="0" xfId="0" applyFont="1" applyProtection="1"/>
    <xf numFmtId="0" fontId="21" fillId="0" borderId="3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56" fillId="0" borderId="0" xfId="0" applyFont="1" applyProtection="1"/>
    <xf numFmtId="3" fontId="3" fillId="0" borderId="0" xfId="0" applyNumberFormat="1" applyFont="1" applyAlignment="1" applyProtection="1">
      <alignment horizontal="center"/>
    </xf>
    <xf numFmtId="173" fontId="3" fillId="0" borderId="0" xfId="0" applyNumberFormat="1" applyFont="1" applyAlignment="1" applyProtection="1">
      <alignment horizontal="center"/>
    </xf>
    <xf numFmtId="169" fontId="3" fillId="0" borderId="0" xfId="0" applyNumberFormat="1" applyFont="1" applyProtection="1"/>
    <xf numFmtId="2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2" fontId="0" fillId="0" borderId="0" xfId="0" applyNumberFormat="1" applyProtection="1"/>
    <xf numFmtId="3" fontId="3" fillId="0" borderId="0" xfId="0" applyNumberFormat="1" applyFont="1" applyAlignment="1" applyProtection="1">
      <alignment horizontal="left"/>
    </xf>
    <xf numFmtId="0" fontId="57" fillId="0" borderId="0" xfId="0" applyFont="1" applyProtection="1"/>
    <xf numFmtId="10" fontId="3" fillId="0" borderId="0" xfId="0" applyNumberFormat="1" applyFont="1" applyProtection="1"/>
    <xf numFmtId="165" fontId="3" fillId="0" borderId="0" xfId="0" applyNumberFormat="1" applyFont="1" applyAlignment="1" applyProtection="1">
      <alignment horizontal="right"/>
    </xf>
    <xf numFmtId="0" fontId="21" fillId="0" borderId="0" xfId="0" applyFont="1" applyProtection="1"/>
    <xf numFmtId="0" fontId="49" fillId="0" borderId="0" xfId="0" applyFont="1" applyAlignment="1">
      <alignment vertical="center"/>
    </xf>
    <xf numFmtId="0" fontId="49" fillId="0" borderId="0" xfId="0" applyFont="1"/>
    <xf numFmtId="4" fontId="0" fillId="0" borderId="0" xfId="0" applyNumberFormat="1"/>
    <xf numFmtId="0" fontId="0" fillId="0" borderId="5" xfId="0" applyBorder="1" applyAlignment="1">
      <alignment horizontal="right"/>
    </xf>
    <xf numFmtId="10" fontId="0" fillId="0" borderId="0" xfId="0" applyNumberFormat="1" applyAlignment="1">
      <alignment horizontal="left"/>
    </xf>
    <xf numFmtId="0" fontId="37" fillId="0" borderId="0" xfId="0" applyNumberFormat="1" applyFont="1"/>
    <xf numFmtId="2" fontId="37" fillId="0" borderId="0" xfId="0" applyNumberFormat="1" applyFont="1"/>
    <xf numFmtId="0" fontId="38" fillId="0" borderId="0" xfId="0" applyFont="1" applyAlignment="1">
      <alignment vertical="center"/>
    </xf>
    <xf numFmtId="0" fontId="38" fillId="0" borderId="0" xfId="0" applyFont="1"/>
    <xf numFmtId="0" fontId="30" fillId="3" borderId="8" xfId="0" applyFont="1" applyFill="1" applyBorder="1" applyAlignment="1">
      <alignment vertical="center"/>
    </xf>
    <xf numFmtId="0" fontId="58" fillId="3" borderId="8" xfId="0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59" fillId="3" borderId="38" xfId="0" applyFont="1" applyFill="1" applyBorder="1" applyAlignment="1">
      <alignment vertical="center"/>
    </xf>
    <xf numFmtId="0" fontId="3" fillId="4" borderId="58" xfId="0" applyFont="1" applyFill="1" applyBorder="1" applyAlignment="1">
      <alignment vertical="center"/>
    </xf>
    <xf numFmtId="0" fontId="3" fillId="4" borderId="58" xfId="0" applyFont="1" applyFill="1" applyBorder="1" applyAlignment="1">
      <alignment horizontal="center" vertical="center"/>
    </xf>
    <xf numFmtId="165" fontId="3" fillId="4" borderId="58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60" fillId="0" borderId="0" xfId="0" applyFont="1"/>
    <xf numFmtId="0" fontId="3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173" fontId="60" fillId="0" borderId="0" xfId="0" applyNumberFormat="1" applyFont="1"/>
    <xf numFmtId="0" fontId="3" fillId="3" borderId="38" xfId="0" applyFont="1" applyFill="1" applyBorder="1" applyAlignment="1">
      <alignment horizontal="center" vertical="center"/>
    </xf>
    <xf numFmtId="0" fontId="20" fillId="3" borderId="8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2" fontId="17" fillId="0" borderId="0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vertical="center"/>
    </xf>
    <xf numFmtId="2" fontId="3" fillId="3" borderId="58" xfId="0" applyNumberFormat="1" applyFont="1" applyFill="1" applyBorder="1" applyAlignment="1">
      <alignment horizontal="right" vertical="center"/>
    </xf>
    <xf numFmtId="0" fontId="3" fillId="4" borderId="58" xfId="0" applyFont="1" applyFill="1" applyBorder="1" applyAlignment="1">
      <alignment horizontal="left" vertical="center" wrapText="1"/>
    </xf>
    <xf numFmtId="165" fontId="62" fillId="3" borderId="58" xfId="0" applyNumberFormat="1" applyFont="1" applyFill="1" applyBorder="1" applyAlignment="1">
      <alignment horizontal="right" vertical="center"/>
    </xf>
    <xf numFmtId="0" fontId="63" fillId="3" borderId="8" xfId="0" applyFont="1" applyFill="1" applyBorder="1" applyAlignment="1">
      <alignment horizontal="center" vertical="center"/>
    </xf>
    <xf numFmtId="173" fontId="17" fillId="3" borderId="8" xfId="0" applyNumberFormat="1" applyFont="1" applyFill="1" applyBorder="1" applyAlignment="1">
      <alignment horizontal="center" vertical="center"/>
    </xf>
    <xf numFmtId="0" fontId="63" fillId="3" borderId="8" xfId="0" applyFont="1" applyFill="1" applyBorder="1" applyAlignment="1" applyProtection="1">
      <alignment horizontal="center" vertical="center"/>
    </xf>
    <xf numFmtId="0" fontId="12" fillId="3" borderId="8" xfId="0" applyFont="1" applyFill="1" applyBorder="1" applyProtection="1"/>
    <xf numFmtId="0" fontId="3" fillId="0" borderId="5" xfId="0" applyFont="1" applyBorder="1" applyProtection="1"/>
    <xf numFmtId="165" fontId="3" fillId="0" borderId="5" xfId="0" applyNumberFormat="1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46" fillId="0" borderId="0" xfId="2"/>
    <xf numFmtId="0" fontId="55" fillId="3" borderId="0" xfId="0" applyFont="1" applyFill="1" applyBorder="1" applyAlignment="1">
      <alignment vertical="top"/>
    </xf>
    <xf numFmtId="0" fontId="1" fillId="3" borderId="8" xfId="0" applyFont="1" applyFill="1" applyBorder="1" applyAlignment="1" applyProtection="1">
      <alignment horizontal="right" vertical="center"/>
    </xf>
    <xf numFmtId="3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/>
    </xf>
    <xf numFmtId="0" fontId="0" fillId="3" borderId="8" xfId="0" applyFont="1" applyFill="1" applyBorder="1" applyAlignment="1" applyProtection="1">
      <alignment vertical="center"/>
    </xf>
    <xf numFmtId="165" fontId="3" fillId="0" borderId="0" xfId="0" applyNumberFormat="1" applyFont="1" applyProtection="1"/>
    <xf numFmtId="0" fontId="7" fillId="0" borderId="5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vertical="center"/>
    </xf>
    <xf numFmtId="2" fontId="7" fillId="0" borderId="5" xfId="0" applyNumberFormat="1" applyFont="1" applyFill="1" applyBorder="1" applyAlignment="1">
      <alignment horizontal="right" vertical="center"/>
    </xf>
    <xf numFmtId="0" fontId="7" fillId="3" borderId="41" xfId="0" applyFont="1" applyFill="1" applyBorder="1" applyAlignment="1">
      <alignment horizontal="right" vertical="center"/>
    </xf>
    <xf numFmtId="2" fontId="7" fillId="3" borderId="5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8" xfId="0" applyNumberFormat="1" applyFont="1" applyFill="1" applyBorder="1" applyAlignment="1">
      <alignment horizontal="center" vertical="center"/>
    </xf>
    <xf numFmtId="10" fontId="7" fillId="4" borderId="8" xfId="0" applyNumberFormat="1" applyFont="1" applyFill="1" applyBorder="1" applyAlignment="1">
      <alignment horizontal="right" vertical="center"/>
    </xf>
    <xf numFmtId="0" fontId="1" fillId="0" borderId="0" xfId="0" applyFont="1"/>
    <xf numFmtId="173" fontId="37" fillId="0" borderId="63" xfId="0" applyNumberFormat="1" applyFont="1" applyBorder="1" applyAlignment="1">
      <alignment vertical="center"/>
    </xf>
    <xf numFmtId="0" fontId="47" fillId="3" borderId="8" xfId="0" applyFont="1" applyFill="1" applyBorder="1" applyAlignment="1">
      <alignment horizontal="left" vertical="center"/>
    </xf>
    <xf numFmtId="183" fontId="7" fillId="0" borderId="0" xfId="0" applyNumberFormat="1" applyFont="1" applyFill="1" applyBorder="1" applyAlignment="1">
      <alignment vertical="center"/>
    </xf>
    <xf numFmtId="183" fontId="0" fillId="0" borderId="0" xfId="0" applyNumberFormat="1" applyFont="1" applyAlignment="1">
      <alignment horizontal="center"/>
    </xf>
    <xf numFmtId="183" fontId="0" fillId="0" borderId="5" xfId="0" applyNumberFormat="1" applyFont="1" applyBorder="1" applyAlignment="1">
      <alignment horizontal="center"/>
    </xf>
    <xf numFmtId="0" fontId="3" fillId="4" borderId="58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3" fillId="4" borderId="58" xfId="0" applyFont="1" applyFill="1" applyBorder="1" applyAlignment="1">
      <alignment horizontal="left" vertical="center"/>
    </xf>
    <xf numFmtId="0" fontId="3" fillId="4" borderId="59" xfId="0" applyFont="1" applyFill="1" applyBorder="1" applyAlignment="1">
      <alignment horizontal="left" vertical="center"/>
    </xf>
    <xf numFmtId="0" fontId="3" fillId="4" borderId="61" xfId="0" applyFont="1" applyFill="1" applyBorder="1" applyAlignment="1">
      <alignment horizontal="left" vertical="center"/>
    </xf>
    <xf numFmtId="0" fontId="3" fillId="4" borderId="60" xfId="0" applyFont="1" applyFill="1" applyBorder="1" applyAlignment="1">
      <alignment horizontal="left" vertical="center"/>
    </xf>
    <xf numFmtId="0" fontId="64" fillId="0" borderId="0" xfId="0" applyFont="1"/>
    <xf numFmtId="0" fontId="65" fillId="0" borderId="0" xfId="0" applyFont="1"/>
    <xf numFmtId="16" fontId="59" fillId="0" borderId="0" xfId="0" applyNumberFormat="1" applyFont="1"/>
    <xf numFmtId="0" fontId="59" fillId="0" borderId="0" xfId="0" applyFont="1"/>
    <xf numFmtId="0" fontId="3" fillId="4" borderId="59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66" fillId="4" borderId="58" xfId="0" applyFont="1" applyFill="1" applyBorder="1" applyAlignment="1">
      <alignment vertical="center"/>
    </xf>
    <xf numFmtId="165" fontId="66" fillId="4" borderId="58" xfId="0" applyNumberFormat="1" applyFont="1" applyFill="1" applyBorder="1" applyAlignment="1">
      <alignment vertical="center"/>
    </xf>
    <xf numFmtId="0" fontId="3" fillId="4" borderId="58" xfId="0" applyFont="1" applyFill="1" applyBorder="1" applyAlignment="1">
      <alignment horizontal="left" vertical="center"/>
    </xf>
    <xf numFmtId="4" fontId="7" fillId="4" borderId="8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right"/>
    </xf>
    <xf numFmtId="2" fontId="37" fillId="0" borderId="63" xfId="0" applyNumberFormat="1" applyFont="1" applyBorder="1" applyAlignment="1">
      <alignment vertical="center"/>
    </xf>
    <xf numFmtId="2" fontId="37" fillId="0" borderId="64" xfId="0" applyNumberFormat="1" applyFont="1" applyBorder="1" applyAlignment="1">
      <alignment vertical="center"/>
    </xf>
    <xf numFmtId="0" fontId="1" fillId="0" borderId="5" xfId="0" applyFont="1" applyBorder="1"/>
    <xf numFmtId="0" fontId="67" fillId="8" borderId="0" xfId="0" applyFont="1" applyFill="1" applyBorder="1" applyAlignment="1">
      <alignment horizontal="left"/>
    </xf>
    <xf numFmtId="0" fontId="67" fillId="8" borderId="0" xfId="0" applyFont="1" applyFill="1" applyBorder="1"/>
    <xf numFmtId="0" fontId="67" fillId="8" borderId="65" xfId="0" applyFont="1" applyFill="1" applyBorder="1" applyAlignment="1">
      <alignment horizontal="left"/>
    </xf>
    <xf numFmtId="0" fontId="67" fillId="8" borderId="66" xfId="0" applyFont="1" applyFill="1" applyBorder="1" applyAlignment="1">
      <alignment horizontal="left"/>
    </xf>
    <xf numFmtId="0" fontId="67" fillId="8" borderId="66" xfId="0" applyFont="1" applyFill="1" applyBorder="1"/>
    <xf numFmtId="0" fontId="67" fillId="8" borderId="67" xfId="0" applyFont="1" applyFill="1" applyBorder="1"/>
    <xf numFmtId="0" fontId="67" fillId="8" borderId="68" xfId="0" applyFont="1" applyFill="1" applyBorder="1" applyAlignment="1">
      <alignment horizontal="left"/>
    </xf>
    <xf numFmtId="0" fontId="67" fillId="8" borderId="69" xfId="0" applyFont="1" applyFill="1" applyBorder="1"/>
    <xf numFmtId="0" fontId="68" fillId="8" borderId="68" xfId="0" applyFont="1" applyFill="1" applyBorder="1" applyAlignment="1">
      <alignment horizontal="left"/>
    </xf>
    <xf numFmtId="4" fontId="67" fillId="8" borderId="69" xfId="0" applyNumberFormat="1" applyFont="1" applyFill="1" applyBorder="1"/>
    <xf numFmtId="0" fontId="67" fillId="8" borderId="68" xfId="0" applyFont="1" applyFill="1" applyBorder="1"/>
    <xf numFmtId="0" fontId="67" fillId="8" borderId="70" xfId="0" applyFont="1" applyFill="1" applyBorder="1" applyAlignment="1">
      <alignment horizontal="right"/>
    </xf>
    <xf numFmtId="0" fontId="67" fillId="8" borderId="71" xfId="0" applyFont="1" applyFill="1" applyBorder="1" applyAlignment="1">
      <alignment horizontal="left"/>
    </xf>
    <xf numFmtId="0" fontId="67" fillId="8" borderId="71" xfId="0" applyFont="1" applyFill="1" applyBorder="1"/>
    <xf numFmtId="0" fontId="67" fillId="8" borderId="71" xfId="0" applyFont="1" applyFill="1" applyBorder="1" applyAlignment="1">
      <alignment horizontal="right"/>
    </xf>
    <xf numFmtId="4" fontId="67" fillId="8" borderId="72" xfId="0" applyNumberFormat="1" applyFont="1" applyFill="1" applyBorder="1"/>
    <xf numFmtId="0" fontId="0" fillId="0" borderId="0" xfId="0" applyFont="1" applyProtection="1"/>
    <xf numFmtId="0" fontId="0" fillId="0" borderId="0" xfId="0" applyFont="1" applyAlignment="1" applyProtection="1">
      <alignment horizontal="left"/>
    </xf>
    <xf numFmtId="170" fontId="0" fillId="0" borderId="0" xfId="0" applyNumberFormat="1" applyFont="1" applyAlignment="1" applyProtection="1">
      <alignment horizontal="right"/>
    </xf>
    <xf numFmtId="0" fontId="0" fillId="0" borderId="0" xfId="0" applyFont="1" applyAlignment="1" applyProtection="1"/>
    <xf numFmtId="0" fontId="0" fillId="0" borderId="0" xfId="0" applyFill="1" applyBorder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Protection="1"/>
    <xf numFmtId="0" fontId="0" fillId="0" borderId="5" xfId="0" applyFont="1" applyBorder="1" applyProtection="1"/>
    <xf numFmtId="170" fontId="0" fillId="0" borderId="5" xfId="0" applyNumberFormat="1" applyFont="1" applyBorder="1" applyAlignment="1" applyProtection="1">
      <alignment horizontal="right"/>
    </xf>
    <xf numFmtId="0" fontId="7" fillId="0" borderId="0" xfId="0" applyFont="1" applyProtection="1"/>
    <xf numFmtId="165" fontId="7" fillId="0" borderId="0" xfId="0" applyNumberFormat="1" applyFont="1" applyAlignment="1" applyProtection="1">
      <alignment horizontal="right"/>
    </xf>
    <xf numFmtId="0" fontId="15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right"/>
    </xf>
    <xf numFmtId="0" fontId="42" fillId="0" borderId="0" xfId="0" applyFont="1" applyProtection="1"/>
    <xf numFmtId="0" fontId="7" fillId="3" borderId="8" xfId="0" applyFont="1" applyFill="1" applyBorder="1" applyProtection="1"/>
    <xf numFmtId="0" fontId="7" fillId="3" borderId="8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vertical="center"/>
    </xf>
    <xf numFmtId="0" fontId="7" fillId="3" borderId="38" xfId="0" applyFont="1" applyFill="1" applyBorder="1" applyAlignment="1" applyProtection="1">
      <alignment vertical="center"/>
    </xf>
    <xf numFmtId="0" fontId="36" fillId="3" borderId="12" xfId="0" applyFont="1" applyFill="1" applyBorder="1" applyAlignment="1" applyProtection="1">
      <alignment horizontal="left" vertical="center"/>
    </xf>
    <xf numFmtId="0" fontId="36" fillId="3" borderId="10" xfId="0" applyFont="1" applyFill="1" applyBorder="1" applyAlignment="1" applyProtection="1">
      <alignment horizontal="left" vertical="center"/>
    </xf>
    <xf numFmtId="0" fontId="36" fillId="3" borderId="11" xfId="0" applyFont="1" applyFill="1" applyBorder="1" applyAlignment="1" applyProtection="1">
      <alignment horizontal="left" vertical="center"/>
    </xf>
    <xf numFmtId="0" fontId="7" fillId="3" borderId="9" xfId="0" applyFont="1" applyFill="1" applyBorder="1" applyAlignment="1" applyProtection="1">
      <alignment horizontal="left" vertical="center"/>
    </xf>
    <xf numFmtId="0" fontId="17" fillId="3" borderId="11" xfId="0" applyFont="1" applyFill="1" applyBorder="1" applyAlignment="1" applyProtection="1">
      <alignment horizontal="left" vertical="center"/>
    </xf>
    <xf numFmtId="0" fontId="3" fillId="3" borderId="38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left" vertical="center"/>
    </xf>
    <xf numFmtId="0" fontId="17" fillId="3" borderId="8" xfId="0" applyFont="1" applyFill="1" applyBorder="1" applyAlignment="1" applyProtection="1">
      <alignment horizontal="right" vertical="center"/>
    </xf>
    <xf numFmtId="0" fontId="3" fillId="3" borderId="38" xfId="0" applyFont="1" applyFill="1" applyBorder="1" applyAlignment="1" applyProtection="1">
      <alignment horizontal="left" vertical="center"/>
    </xf>
    <xf numFmtId="2" fontId="17" fillId="3" borderId="8" xfId="0" applyNumberFormat="1" applyFont="1" applyFill="1" applyBorder="1" applyAlignment="1" applyProtection="1">
      <alignment horizontal="center" vertical="center"/>
    </xf>
    <xf numFmtId="164" fontId="17" fillId="3" borderId="8" xfId="0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left" vertical="center"/>
    </xf>
    <xf numFmtId="167" fontId="3" fillId="3" borderId="8" xfId="0" applyNumberFormat="1" applyFont="1" applyFill="1" applyBorder="1" applyAlignment="1" applyProtection="1">
      <alignment horizontal="left" vertical="center"/>
    </xf>
    <xf numFmtId="0" fontId="47" fillId="3" borderId="8" xfId="0" applyFont="1" applyFill="1" applyBorder="1" applyAlignment="1" applyProtection="1">
      <alignment horizontal="left" vertical="center"/>
    </xf>
    <xf numFmtId="165" fontId="7" fillId="3" borderId="8" xfId="0" applyNumberFormat="1" applyFont="1" applyFill="1" applyBorder="1" applyAlignment="1" applyProtection="1">
      <alignment vertical="center"/>
    </xf>
    <xf numFmtId="0" fontId="3" fillId="0" borderId="38" xfId="0" applyFont="1" applyFill="1" applyBorder="1" applyAlignment="1" applyProtection="1"/>
    <xf numFmtId="0" fontId="3" fillId="0" borderId="3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right"/>
    </xf>
    <xf numFmtId="0" fontId="3" fillId="0" borderId="38" xfId="0" applyFont="1" applyFill="1" applyBorder="1" applyAlignment="1" applyProtection="1">
      <alignment horizontal="left" vertical="top"/>
    </xf>
    <xf numFmtId="166" fontId="0" fillId="0" borderId="38" xfId="0" applyNumberFormat="1" applyFont="1" applyFill="1" applyBorder="1" applyAlignment="1" applyProtection="1">
      <alignment horizontal="center" vertical="top"/>
    </xf>
    <xf numFmtId="0" fontId="3" fillId="0" borderId="38" xfId="0" applyFont="1" applyFill="1" applyBorder="1" applyAlignment="1" applyProtection="1">
      <alignment horizontal="left" vertical="center"/>
    </xf>
    <xf numFmtId="0" fontId="15" fillId="0" borderId="8" xfId="0" applyFont="1" applyFill="1" applyBorder="1" applyAlignment="1" applyProtection="1">
      <alignment horizontal="left" vertical="center"/>
    </xf>
    <xf numFmtId="0" fontId="15" fillId="0" borderId="8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65" fontId="0" fillId="0" borderId="0" xfId="0" applyNumberFormat="1" applyAlignment="1" applyProtection="1">
      <alignment horizontal="right"/>
    </xf>
    <xf numFmtId="0" fontId="0" fillId="0" borderId="5" xfId="0" applyBorder="1" applyProtection="1"/>
    <xf numFmtId="0" fontId="37" fillId="0" borderId="0" xfId="0" applyFont="1" applyAlignment="1" applyProtection="1">
      <alignment horizontal="left"/>
    </xf>
    <xf numFmtId="0" fontId="37" fillId="0" borderId="0" xfId="0" applyFont="1" applyAlignment="1" applyProtection="1"/>
    <xf numFmtId="0" fontId="37" fillId="0" borderId="0" xfId="0" applyFont="1" applyFill="1" applyAlignment="1" applyProtection="1">
      <alignment vertical="top"/>
    </xf>
    <xf numFmtId="0" fontId="37" fillId="0" borderId="0" xfId="0" applyFont="1" applyFill="1" applyAlignment="1" applyProtection="1">
      <alignment horizontal="left" vertical="top"/>
    </xf>
    <xf numFmtId="0" fontId="8" fillId="0" borderId="0" xfId="0" applyFont="1" applyAlignment="1" applyProtection="1">
      <alignment horizontal="center" vertical="center"/>
    </xf>
    <xf numFmtId="0" fontId="24" fillId="0" borderId="0" xfId="0" applyFont="1" applyProtection="1"/>
    <xf numFmtId="0" fontId="7" fillId="3" borderId="12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16" xfId="0" applyFont="1" applyFill="1" applyBorder="1" applyAlignment="1" applyProtection="1">
      <alignment vertical="center"/>
    </xf>
    <xf numFmtId="0" fontId="0" fillId="0" borderId="0" xfId="0" applyAlignment="1" applyProtection="1"/>
    <xf numFmtId="0" fontId="3" fillId="3" borderId="1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0" fontId="48" fillId="0" borderId="0" xfId="0" applyFont="1" applyAlignment="1" applyProtection="1">
      <alignment horizontal="left"/>
    </xf>
    <xf numFmtId="0" fontId="48" fillId="0" borderId="0" xfId="0" applyFont="1" applyAlignment="1" applyProtection="1"/>
    <xf numFmtId="0" fontId="3" fillId="3" borderId="0" xfId="0" applyFont="1" applyFill="1" applyBorder="1" applyAlignment="1" applyProtection="1">
      <alignment horizontal="right" vertical="center"/>
    </xf>
    <xf numFmtId="0" fontId="17" fillId="3" borderId="0" xfId="0" applyFont="1" applyFill="1" applyBorder="1" applyAlignment="1" applyProtection="1">
      <alignment vertical="center"/>
    </xf>
    <xf numFmtId="0" fontId="7" fillId="3" borderId="11" xfId="0" applyFont="1" applyFill="1" applyBorder="1" applyProtection="1"/>
    <xf numFmtId="0" fontId="48" fillId="0" borderId="0" xfId="0" applyFont="1" applyProtection="1"/>
    <xf numFmtId="0" fontId="7" fillId="0" borderId="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vertical="center"/>
    </xf>
    <xf numFmtId="0" fontId="48" fillId="0" borderId="0" xfId="0" applyFont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3" borderId="11" xfId="0" applyFont="1" applyFill="1" applyBorder="1" applyAlignment="1" applyProtection="1">
      <alignment horizontal="left" vertical="center"/>
    </xf>
    <xf numFmtId="165" fontId="7" fillId="0" borderId="0" xfId="0" applyNumberFormat="1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7" fillId="3" borderId="15" xfId="0" applyFont="1" applyFill="1" applyBorder="1" applyAlignment="1" applyProtection="1">
      <alignment horizontal="right" vertical="center"/>
    </xf>
    <xf numFmtId="0" fontId="48" fillId="0" borderId="0" xfId="0" applyFont="1" applyAlignment="1" applyProtection="1">
      <alignment horizontal="left" vertical="center"/>
    </xf>
    <xf numFmtId="0" fontId="7" fillId="3" borderId="17" xfId="0" applyFont="1" applyFill="1" applyBorder="1" applyAlignment="1" applyProtection="1">
      <alignment vertical="center"/>
    </xf>
    <xf numFmtId="0" fontId="7" fillId="3" borderId="18" xfId="0" applyFont="1" applyFill="1" applyBorder="1" applyAlignment="1" applyProtection="1">
      <alignment vertical="center"/>
    </xf>
    <xf numFmtId="0" fontId="7" fillId="3" borderId="19" xfId="0" applyFont="1" applyFill="1" applyBorder="1" applyAlignment="1" applyProtection="1">
      <alignment vertical="center"/>
    </xf>
    <xf numFmtId="0" fontId="48" fillId="0" borderId="0" xfId="0" applyFont="1" applyAlignment="1" applyProtection="1">
      <alignment horizontal="right" vertical="center"/>
    </xf>
    <xf numFmtId="0" fontId="48" fillId="0" borderId="0" xfId="0" applyFont="1" applyAlignment="1" applyProtection="1">
      <alignment horizontal="right"/>
    </xf>
    <xf numFmtId="0" fontId="37" fillId="0" borderId="0" xfId="0" applyFont="1" applyAlignment="1" applyProtection="1">
      <alignment horizontal="right"/>
    </xf>
    <xf numFmtId="0" fontId="25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horizontal="right" vertical="center"/>
    </xf>
    <xf numFmtId="0" fontId="39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center" vertical="center"/>
    </xf>
    <xf numFmtId="0" fontId="24" fillId="0" borderId="0" xfId="0" applyFont="1" applyBorder="1" applyProtection="1"/>
    <xf numFmtId="171" fontId="37" fillId="0" borderId="0" xfId="0" applyNumberFormat="1" applyFont="1" applyAlignment="1" applyProtection="1">
      <alignment horizontal="right"/>
    </xf>
    <xf numFmtId="0" fontId="33" fillId="0" borderId="0" xfId="0" applyFont="1" applyProtection="1"/>
    <xf numFmtId="171" fontId="40" fillId="0" borderId="0" xfId="0" applyNumberFormat="1" applyFont="1" applyAlignment="1" applyProtection="1">
      <alignment horizontal="right"/>
    </xf>
    <xf numFmtId="0" fontId="40" fillId="0" borderId="0" xfId="0" applyFont="1" applyAlignment="1" applyProtection="1">
      <alignment horizontal="left"/>
    </xf>
    <xf numFmtId="0" fontId="40" fillId="0" borderId="0" xfId="0" applyFont="1" applyAlignment="1" applyProtection="1"/>
    <xf numFmtId="0" fontId="26" fillId="0" borderId="0" xfId="0" applyFont="1" applyProtection="1"/>
    <xf numFmtId="0" fontId="41" fillId="0" borderId="0" xfId="0" applyFont="1" applyAlignment="1" applyProtection="1">
      <alignment horizontal="right"/>
    </xf>
    <xf numFmtId="0" fontId="41" fillId="0" borderId="0" xfId="0" applyFont="1" applyAlignment="1" applyProtection="1">
      <alignment horizontal="left"/>
    </xf>
    <xf numFmtId="0" fontId="41" fillId="0" borderId="0" xfId="0" applyFont="1" applyAlignment="1" applyProtection="1"/>
    <xf numFmtId="165" fontId="42" fillId="0" borderId="0" xfId="0" applyNumberFormat="1" applyFont="1" applyProtection="1"/>
    <xf numFmtId="0" fontId="50" fillId="0" borderId="0" xfId="0" applyFont="1" applyProtection="1"/>
    <xf numFmtId="0" fontId="20" fillId="3" borderId="38" xfId="0" applyFont="1" applyFill="1" applyBorder="1" applyAlignment="1" applyProtection="1">
      <alignment horizontal="center" vertical="center"/>
    </xf>
    <xf numFmtId="166" fontId="0" fillId="0" borderId="0" xfId="0" applyNumberFormat="1" applyAlignment="1" applyProtection="1">
      <alignment horizontal="center"/>
    </xf>
    <xf numFmtId="1" fontId="7" fillId="0" borderId="38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73" fontId="50" fillId="0" borderId="0" xfId="0" applyNumberFormat="1" applyFont="1" applyProtection="1"/>
    <xf numFmtId="10" fontId="7" fillId="4" borderId="8" xfId="0" applyNumberFormat="1" applyFont="1" applyFill="1" applyBorder="1" applyAlignment="1" applyProtection="1">
      <alignment vertical="center"/>
    </xf>
    <xf numFmtId="165" fontId="7" fillId="4" borderId="8" xfId="0" applyNumberFormat="1" applyFont="1" applyFill="1" applyBorder="1" applyAlignment="1" applyProtection="1">
      <alignment vertical="center"/>
    </xf>
    <xf numFmtId="164" fontId="48" fillId="0" borderId="0" xfId="0" applyNumberFormat="1" applyFont="1" applyBorder="1" applyAlignment="1" applyProtection="1"/>
    <xf numFmtId="0" fontId="70" fillId="0" borderId="0" xfId="0" applyFont="1" applyBorder="1" applyProtection="1"/>
    <xf numFmtId="0" fontId="70" fillId="0" borderId="0" xfId="0" applyFont="1" applyBorder="1" applyAlignment="1" applyProtection="1">
      <alignment horizontal="right"/>
    </xf>
    <xf numFmtId="170" fontId="70" fillId="0" borderId="0" xfId="0" applyNumberFormat="1" applyFont="1" applyBorder="1" applyAlignment="1" applyProtection="1">
      <alignment horizontal="right"/>
    </xf>
    <xf numFmtId="4" fontId="37" fillId="0" borderId="63" xfId="0" applyNumberFormat="1" applyFont="1" applyBorder="1" applyAlignment="1">
      <alignment vertical="center"/>
    </xf>
    <xf numFmtId="4" fontId="37" fillId="0" borderId="64" xfId="0" applyNumberFormat="1" applyFont="1" applyBorder="1" applyAlignment="1">
      <alignment vertical="center"/>
    </xf>
    <xf numFmtId="2" fontId="37" fillId="0" borderId="18" xfId="0" applyNumberFormat="1" applyFont="1" applyBorder="1" applyAlignment="1">
      <alignment vertical="center"/>
    </xf>
    <xf numFmtId="2" fontId="37" fillId="0" borderId="13" xfId="0" applyNumberFormat="1" applyFont="1" applyBorder="1" applyAlignment="1">
      <alignment vertical="center"/>
    </xf>
    <xf numFmtId="0" fontId="0" fillId="0" borderId="0" xfId="0" applyAlignment="1"/>
    <xf numFmtId="0" fontId="7" fillId="3" borderId="38" xfId="0" applyFont="1" applyFill="1" applyBorder="1" applyAlignment="1">
      <alignment horizontal="right" vertical="center"/>
    </xf>
    <xf numFmtId="0" fontId="0" fillId="4" borderId="11" xfId="0" applyFont="1" applyFill="1" applyBorder="1" applyAlignment="1">
      <alignment horizontal="center" vertical="center"/>
    </xf>
    <xf numFmtId="165" fontId="71" fillId="0" borderId="0" xfId="0" applyNumberFormat="1" applyFont="1" applyAlignment="1">
      <alignment horizontal="left" vertical="center"/>
    </xf>
    <xf numFmtId="0" fontId="11" fillId="3" borderId="38" xfId="0" applyFont="1" applyFill="1" applyBorder="1" applyAlignment="1" applyProtection="1">
      <alignment horizontal="left" vertical="center"/>
      <protection locked="0"/>
    </xf>
    <xf numFmtId="169" fontId="17" fillId="3" borderId="9" xfId="0" applyNumberFormat="1" applyFont="1" applyFill="1" applyBorder="1" applyAlignment="1" applyProtection="1">
      <alignment horizontal="right" vertical="center"/>
      <protection locked="0"/>
    </xf>
    <xf numFmtId="169" fontId="17" fillId="3" borderId="10" xfId="0" applyNumberFormat="1" applyFont="1" applyFill="1" applyBorder="1" applyAlignment="1" applyProtection="1">
      <alignment horizontal="right" vertical="center"/>
      <protection locked="0"/>
    </xf>
    <xf numFmtId="169" fontId="17" fillId="3" borderId="11" xfId="0" applyNumberFormat="1" applyFont="1" applyFill="1" applyBorder="1" applyAlignment="1" applyProtection="1">
      <alignment horizontal="right" vertical="center"/>
      <protection locked="0"/>
    </xf>
    <xf numFmtId="16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5" fillId="0" borderId="0" xfId="0" applyFont="1" applyProtection="1"/>
    <xf numFmtId="10" fontId="45" fillId="0" borderId="0" xfId="0" applyNumberFormat="1" applyFont="1" applyAlignment="1" applyProtection="1">
      <alignment horizontal="center"/>
    </xf>
    <xf numFmtId="0" fontId="45" fillId="0" borderId="0" xfId="0" applyFont="1" applyAlignment="1" applyProtection="1">
      <alignment horizontal="left"/>
    </xf>
    <xf numFmtId="166" fontId="45" fillId="0" borderId="0" xfId="0" applyNumberFormat="1" applyFont="1" applyAlignment="1" applyProtection="1">
      <alignment horizontal="left"/>
    </xf>
    <xf numFmtId="4" fontId="45" fillId="0" borderId="0" xfId="0" applyNumberFormat="1" applyFont="1" applyAlignment="1" applyProtection="1">
      <alignment horizontal="center"/>
    </xf>
    <xf numFmtId="0" fontId="0" fillId="3" borderId="0" xfId="0" applyFill="1" applyAlignment="1">
      <alignment horizontal="center" vertical="center"/>
    </xf>
    <xf numFmtId="0" fontId="17" fillId="3" borderId="8" xfId="0" applyFont="1" applyFill="1" applyBorder="1" applyAlignment="1" applyProtection="1">
      <protection locked="0"/>
    </xf>
    <xf numFmtId="0" fontId="0" fillId="3" borderId="8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0" fillId="9" borderId="0" xfId="0" applyFill="1"/>
    <xf numFmtId="0" fontId="0" fillId="9" borderId="0" xfId="0" applyFill="1" applyAlignment="1"/>
    <xf numFmtId="0" fontId="2" fillId="9" borderId="3" xfId="0" applyFont="1" applyFill="1" applyBorder="1"/>
    <xf numFmtId="0" fontId="2" fillId="9" borderId="3" xfId="0" applyFont="1" applyFill="1" applyBorder="1" applyAlignment="1"/>
    <xf numFmtId="0" fontId="0" fillId="0" borderId="4" xfId="0" applyBorder="1"/>
    <xf numFmtId="0" fontId="0" fillId="0" borderId="4" xfId="0" applyBorder="1" applyAlignment="1"/>
    <xf numFmtId="0" fontId="2" fillId="0" borderId="3" xfId="0" applyFont="1" applyBorder="1"/>
    <xf numFmtId="0" fontId="2" fillId="0" borderId="3" xfId="0" applyFont="1" applyBorder="1" applyAlignment="1"/>
    <xf numFmtId="0" fontId="0" fillId="9" borderId="4" xfId="0" applyFill="1" applyBorder="1"/>
    <xf numFmtId="0" fontId="0" fillId="9" borderId="4" xfId="0" applyFill="1" applyBorder="1" applyAlignment="1"/>
    <xf numFmtId="0" fontId="0" fillId="10" borderId="4" xfId="0" applyFill="1" applyBorder="1"/>
    <xf numFmtId="0" fontId="0" fillId="10" borderId="0" xfId="0" applyFill="1"/>
    <xf numFmtId="0" fontId="0" fillId="10" borderId="3" xfId="0" applyFill="1" applyBorder="1"/>
    <xf numFmtId="14" fontId="0" fillId="9" borderId="0" xfId="0" applyNumberFormat="1" applyFill="1" applyAlignment="1">
      <alignment horizontal="left"/>
    </xf>
    <xf numFmtId="0" fontId="15" fillId="0" borderId="0" xfId="0" applyNumberFormat="1" applyFont="1" applyAlignment="1" applyProtection="1">
      <alignment vertical="center"/>
    </xf>
    <xf numFmtId="0" fontId="0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left" wrapText="1"/>
    </xf>
    <xf numFmtId="0" fontId="3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21" fillId="0" borderId="0" xfId="0" applyFont="1" applyAlignment="1" applyProtection="1"/>
    <xf numFmtId="0" fontId="15" fillId="0" borderId="0" xfId="0" applyFont="1" applyProtection="1"/>
    <xf numFmtId="0" fontId="17" fillId="3" borderId="15" xfId="0" applyFont="1" applyFill="1" applyBorder="1" applyAlignment="1" applyProtection="1">
      <alignment horizontal="left" vertical="center"/>
    </xf>
    <xf numFmtId="0" fontId="17" fillId="3" borderId="15" xfId="0" applyFont="1" applyFill="1" applyBorder="1" applyAlignment="1" applyProtection="1">
      <alignment horizontal="center" vertical="center"/>
    </xf>
    <xf numFmtId="0" fontId="37" fillId="0" borderId="0" xfId="0" applyFont="1" applyAlignment="1" applyProtection="1">
      <alignment horizontal="left" vertical="center"/>
    </xf>
    <xf numFmtId="2" fontId="37" fillId="0" borderId="0" xfId="0" applyNumberFormat="1" applyFont="1" applyFill="1" applyAlignment="1" applyProtection="1">
      <alignment horizontal="right" vertical="center"/>
    </xf>
    <xf numFmtId="165" fontId="78" fillId="0" borderId="0" xfId="0" applyNumberFormat="1" applyFont="1" applyFill="1" applyBorder="1" applyAlignment="1" applyProtection="1">
      <alignment horizontal="right" vertical="center" wrapText="1"/>
    </xf>
    <xf numFmtId="164" fontId="37" fillId="0" borderId="0" xfId="0" applyNumberFormat="1" applyFont="1" applyBorder="1" applyAlignment="1" applyProtection="1"/>
    <xf numFmtId="4" fontId="78" fillId="0" borderId="0" xfId="0" applyNumberFormat="1" applyFont="1" applyFill="1" applyBorder="1" applyAlignment="1" applyProtection="1">
      <alignment horizontal="right" vertical="center" wrapText="1"/>
    </xf>
    <xf numFmtId="173" fontId="37" fillId="0" borderId="0" xfId="0" applyNumberFormat="1" applyFont="1" applyAlignment="1" applyProtection="1">
      <alignment vertical="center"/>
    </xf>
    <xf numFmtId="164" fontId="37" fillId="0" borderId="0" xfId="0" applyNumberFormat="1" applyFont="1" applyAlignment="1" applyProtection="1"/>
    <xf numFmtId="0" fontId="37" fillId="0" borderId="0" xfId="0" applyNumberFormat="1" applyFont="1" applyFill="1" applyAlignment="1" applyProtection="1">
      <alignment horizontal="left"/>
    </xf>
    <xf numFmtId="0" fontId="78" fillId="0" borderId="0" xfId="0" applyFont="1" applyFill="1" applyBorder="1" applyAlignment="1" applyProtection="1">
      <alignment horizontal="left" vertical="center"/>
    </xf>
    <xf numFmtId="173" fontId="37" fillId="0" borderId="0" xfId="0" applyNumberFormat="1" applyFont="1" applyAlignment="1" applyProtection="1"/>
    <xf numFmtId="0" fontId="78" fillId="0" borderId="0" xfId="0" applyFont="1" applyFill="1" applyBorder="1" applyAlignment="1" applyProtection="1">
      <alignment vertical="center"/>
    </xf>
    <xf numFmtId="0" fontId="78" fillId="0" borderId="0" xfId="0" applyFont="1" applyFill="1" applyBorder="1" applyAlignment="1" applyProtection="1">
      <alignment horizontal="right" vertical="center" wrapText="1"/>
    </xf>
    <xf numFmtId="0" fontId="77" fillId="0" borderId="15" xfId="0" applyFont="1" applyFill="1" applyBorder="1" applyAlignment="1" applyProtection="1">
      <alignment horizontal="center" vertical="center"/>
    </xf>
    <xf numFmtId="0" fontId="77" fillId="0" borderId="0" xfId="0" applyFont="1" applyAlignment="1" applyProtection="1">
      <alignment vertical="center"/>
    </xf>
    <xf numFmtId="0" fontId="77" fillId="0" borderId="0" xfId="0" applyFont="1" applyAlignment="1" applyProtection="1">
      <alignment horizontal="left" vertical="center"/>
    </xf>
    <xf numFmtId="0" fontId="77" fillId="0" borderId="0" xfId="0" applyFont="1" applyAlignment="1" applyProtection="1">
      <alignment horizontal="right" vertical="center"/>
    </xf>
    <xf numFmtId="0" fontId="76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22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4" xfId="0" applyFill="1" applyBorder="1"/>
    <xf numFmtId="1" fontId="0" fillId="0" borderId="21" xfId="0" applyNumberFormat="1" applyBorder="1"/>
    <xf numFmtId="1" fontId="0" fillId="0" borderId="23" xfId="0" applyNumberFormat="1" applyBorder="1"/>
    <xf numFmtId="1" fontId="0" fillId="0" borderId="25" xfId="0" applyNumberFormat="1" applyBorder="1"/>
    <xf numFmtId="0" fontId="8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4" borderId="61" xfId="0" applyFont="1" applyFill="1" applyBorder="1" applyAlignment="1">
      <alignment horizontal="left" vertical="center"/>
    </xf>
    <xf numFmtId="0" fontId="3" fillId="4" borderId="60" xfId="0" applyFont="1" applyFill="1" applyBorder="1" applyAlignment="1">
      <alignment horizontal="left" vertical="center"/>
    </xf>
    <xf numFmtId="0" fontId="66" fillId="4" borderId="61" xfId="0" applyFont="1" applyFill="1" applyBorder="1" applyAlignment="1">
      <alignment horizontal="left" vertical="center"/>
    </xf>
    <xf numFmtId="0" fontId="66" fillId="4" borderId="6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 applyProtection="1"/>
    <xf numFmtId="0" fontId="17" fillId="0" borderId="0" xfId="0" applyFont="1" applyFill="1" applyBorder="1" applyAlignment="1" applyProtection="1">
      <alignment horizontal="left" vertical="center"/>
    </xf>
    <xf numFmtId="2" fontId="0" fillId="0" borderId="0" xfId="0" applyNumberFormat="1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left"/>
    </xf>
    <xf numFmtId="180" fontId="0" fillId="0" borderId="0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170" fontId="0" fillId="0" borderId="0" xfId="0" applyNumberFormat="1" applyFont="1" applyBorder="1" applyAlignment="1" applyProtection="1">
      <alignment horizontal="right"/>
    </xf>
    <xf numFmtId="182" fontId="0" fillId="0" borderId="0" xfId="0" applyNumberFormat="1" applyFont="1" applyBorder="1" applyAlignment="1" applyProtection="1"/>
    <xf numFmtId="0" fontId="0" fillId="0" borderId="0" xfId="0" applyFont="1" applyBorder="1" applyAlignment="1" applyProtection="1">
      <alignment horizontal="left"/>
    </xf>
    <xf numFmtId="0" fontId="0" fillId="6" borderId="20" xfId="0" applyFont="1" applyFill="1" applyBorder="1" applyAlignment="1">
      <alignment horizontal="left" vertical="top" wrapText="1"/>
    </xf>
    <xf numFmtId="0" fontId="0" fillId="6" borderId="6" xfId="0" applyFont="1" applyFill="1" applyBorder="1" applyAlignment="1">
      <alignment horizontal="left" vertical="top" wrapText="1"/>
    </xf>
    <xf numFmtId="0" fontId="0" fillId="6" borderId="21" xfId="0" applyFont="1" applyFill="1" applyBorder="1" applyAlignment="1">
      <alignment horizontal="left" vertical="top" wrapText="1"/>
    </xf>
    <xf numFmtId="0" fontId="0" fillId="6" borderId="24" xfId="0" applyFont="1" applyFill="1" applyBorder="1" applyAlignment="1">
      <alignment horizontal="left" vertical="top" wrapText="1"/>
    </xf>
    <xf numFmtId="0" fontId="0" fillId="6" borderId="5" xfId="0" applyFont="1" applyFill="1" applyBorder="1" applyAlignment="1">
      <alignment horizontal="left" vertical="top" wrapText="1"/>
    </xf>
    <xf numFmtId="0" fontId="0" fillId="6" borderId="25" xfId="0" applyFont="1" applyFill="1" applyBorder="1" applyAlignment="1">
      <alignment horizontal="left" vertical="top" wrapText="1"/>
    </xf>
    <xf numFmtId="165" fontId="9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right"/>
    </xf>
    <xf numFmtId="0" fontId="8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9" fillId="4" borderId="56" xfId="0" applyFont="1" applyFill="1" applyBorder="1" applyAlignment="1"/>
    <xf numFmtId="0" fontId="19" fillId="4" borderId="57" xfId="0" applyFont="1" applyFill="1" applyBorder="1" applyAlignment="1"/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center" vertical="center" textRotation="90"/>
    </xf>
    <xf numFmtId="0" fontId="23" fillId="0" borderId="0" xfId="0" applyFont="1" applyAlignment="1">
      <alignment horizontal="center"/>
    </xf>
    <xf numFmtId="0" fontId="7" fillId="3" borderId="0" xfId="0" applyFont="1" applyFill="1" applyAlignment="1">
      <alignment horizontal="center" vertical="center" textRotation="90"/>
    </xf>
    <xf numFmtId="0" fontId="7" fillId="3" borderId="0" xfId="0" applyFont="1" applyFill="1" applyAlignment="1" applyProtection="1">
      <alignment horizontal="center" vertical="center" textRotation="90"/>
    </xf>
    <xf numFmtId="0" fontId="36" fillId="4" borderId="9" xfId="0" applyFont="1" applyFill="1" applyBorder="1" applyAlignment="1" applyProtection="1">
      <alignment vertical="center"/>
    </xf>
    <xf numFmtId="0" fontId="36" fillId="4" borderId="10" xfId="0" applyFont="1" applyFill="1" applyBorder="1" applyAlignment="1" applyProtection="1">
      <alignment vertical="center"/>
    </xf>
    <xf numFmtId="0" fontId="36" fillId="4" borderId="11" xfId="0" applyFont="1" applyFill="1" applyBorder="1" applyAlignment="1" applyProtection="1">
      <alignment vertical="center"/>
    </xf>
    <xf numFmtId="165" fontId="21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left" vertical="center" wrapText="1"/>
    </xf>
    <xf numFmtId="0" fontId="0" fillId="5" borderId="0" xfId="0" applyFill="1" applyAlignment="1" applyProtection="1">
      <alignment horizontal="center" vertical="center" textRotation="90"/>
    </xf>
    <xf numFmtId="165" fontId="22" fillId="3" borderId="8" xfId="0" applyNumberFormat="1" applyFont="1" applyFill="1" applyBorder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5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4" borderId="9" xfId="0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left" vertical="top"/>
    </xf>
    <xf numFmtId="0" fontId="17" fillId="3" borderId="10" xfId="0" applyFont="1" applyFill="1" applyBorder="1" applyAlignment="1">
      <alignment horizontal="left" vertical="top"/>
    </xf>
    <xf numFmtId="0" fontId="17" fillId="3" borderId="11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36" fillId="4" borderId="9" xfId="0" applyFont="1" applyFill="1" applyBorder="1" applyAlignment="1">
      <alignment horizontal="left" vertical="center"/>
    </xf>
    <xf numFmtId="0" fontId="36" fillId="4" borderId="10" xfId="0" applyFont="1" applyFill="1" applyBorder="1" applyAlignment="1">
      <alignment horizontal="left" vertical="center"/>
    </xf>
    <xf numFmtId="0" fontId="36" fillId="4" borderId="11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165" fontId="22" fillId="3" borderId="8" xfId="0" applyNumberFormat="1" applyFont="1" applyFill="1" applyBorder="1" applyAlignment="1">
      <alignment horizontal="right"/>
    </xf>
    <xf numFmtId="0" fontId="7" fillId="4" borderId="9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49" fontId="13" fillId="4" borderId="9" xfId="0" applyNumberFormat="1" applyFont="1" applyFill="1" applyBorder="1" applyAlignment="1">
      <alignment horizontal="right" vertical="center"/>
    </xf>
    <xf numFmtId="49" fontId="13" fillId="4" borderId="10" xfId="0" applyNumberFormat="1" applyFont="1" applyFill="1" applyBorder="1" applyAlignment="1">
      <alignment horizontal="right" vertical="center"/>
    </xf>
    <xf numFmtId="49" fontId="13" fillId="4" borderId="11" xfId="0" applyNumberFormat="1" applyFont="1" applyFill="1" applyBorder="1" applyAlignment="1">
      <alignment horizontal="right" vertical="center"/>
    </xf>
    <xf numFmtId="10" fontId="3" fillId="4" borderId="9" xfId="0" applyNumberFormat="1" applyFont="1" applyFill="1" applyBorder="1" applyAlignment="1">
      <alignment horizontal="left" vertical="center"/>
    </xf>
    <xf numFmtId="10" fontId="3" fillId="4" borderId="10" xfId="0" applyNumberFormat="1" applyFont="1" applyFill="1" applyBorder="1" applyAlignment="1">
      <alignment horizontal="left" vertical="center"/>
    </xf>
    <xf numFmtId="10" fontId="3" fillId="4" borderId="11" xfId="0" applyNumberFormat="1" applyFont="1" applyFill="1" applyBorder="1" applyAlignment="1">
      <alignment horizontal="left" vertical="center"/>
    </xf>
    <xf numFmtId="0" fontId="7" fillId="4" borderId="43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0" fontId="36" fillId="4" borderId="9" xfId="0" applyFont="1" applyFill="1" applyBorder="1" applyAlignment="1" applyProtection="1">
      <alignment horizontal="left" vertical="center"/>
    </xf>
    <xf numFmtId="0" fontId="36" fillId="4" borderId="10" xfId="0" applyFont="1" applyFill="1" applyBorder="1" applyAlignment="1" applyProtection="1">
      <alignment horizontal="left" vertical="center"/>
    </xf>
    <xf numFmtId="0" fontId="36" fillId="4" borderId="11" xfId="0" applyFont="1" applyFill="1" applyBorder="1" applyAlignment="1" applyProtection="1">
      <alignment horizontal="left" vertical="center"/>
    </xf>
    <xf numFmtId="0" fontId="7" fillId="4" borderId="9" xfId="0" applyFont="1" applyFill="1" applyBorder="1" applyAlignment="1" applyProtection="1">
      <alignment horizontal="left" vertical="center"/>
    </xf>
    <xf numFmtId="0" fontId="7" fillId="4" borderId="11" xfId="0" applyFont="1" applyFill="1" applyBorder="1" applyAlignment="1" applyProtection="1">
      <alignment horizontal="left" vertical="center"/>
    </xf>
    <xf numFmtId="0" fontId="7" fillId="4" borderId="8" xfId="0" applyFont="1" applyFill="1" applyBorder="1" applyAlignment="1" applyProtection="1">
      <alignment horizontal="left" vertical="center"/>
    </xf>
    <xf numFmtId="0" fontId="45" fillId="6" borderId="20" xfId="0" applyFont="1" applyFill="1" applyBorder="1" applyAlignment="1">
      <alignment horizontal="left" vertical="top" wrapText="1"/>
    </xf>
    <xf numFmtId="0" fontId="45" fillId="6" borderId="6" xfId="0" applyFont="1" applyFill="1" applyBorder="1" applyAlignment="1">
      <alignment horizontal="left" vertical="top" wrapText="1"/>
    </xf>
    <xf numFmtId="0" fontId="45" fillId="6" borderId="21" xfId="0" applyFont="1" applyFill="1" applyBorder="1" applyAlignment="1">
      <alignment horizontal="left" vertical="top" wrapText="1"/>
    </xf>
    <xf numFmtId="0" fontId="45" fillId="6" borderId="22" xfId="0" applyFont="1" applyFill="1" applyBorder="1" applyAlignment="1">
      <alignment horizontal="left" vertical="top" wrapText="1"/>
    </xf>
    <xf numFmtId="0" fontId="45" fillId="6" borderId="0" xfId="0" applyFont="1" applyFill="1" applyBorder="1" applyAlignment="1">
      <alignment horizontal="left" vertical="top" wrapText="1"/>
    </xf>
    <xf numFmtId="0" fontId="45" fillId="6" borderId="23" xfId="0" applyFont="1" applyFill="1" applyBorder="1" applyAlignment="1">
      <alignment horizontal="left" vertical="top" wrapText="1"/>
    </xf>
    <xf numFmtId="0" fontId="45" fillId="6" borderId="24" xfId="0" applyFont="1" applyFill="1" applyBorder="1" applyAlignment="1">
      <alignment horizontal="left" vertical="top" wrapText="1"/>
    </xf>
    <xf numFmtId="0" fontId="45" fillId="6" borderId="5" xfId="0" applyFont="1" applyFill="1" applyBorder="1" applyAlignment="1">
      <alignment horizontal="left" vertical="top" wrapText="1"/>
    </xf>
    <xf numFmtId="0" fontId="45" fillId="6" borderId="25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69" fillId="4" borderId="9" xfId="0" applyFont="1" applyFill="1" applyBorder="1" applyAlignment="1">
      <alignment horizontal="left" vertical="center"/>
    </xf>
    <xf numFmtId="0" fontId="69" fillId="4" borderId="10" xfId="0" applyFont="1" applyFill="1" applyBorder="1" applyAlignment="1">
      <alignment horizontal="left" vertical="center"/>
    </xf>
    <xf numFmtId="0" fontId="69" fillId="4" borderId="11" xfId="0" applyFont="1" applyFill="1" applyBorder="1" applyAlignment="1">
      <alignment horizontal="left" vertical="center"/>
    </xf>
    <xf numFmtId="0" fontId="3" fillId="4" borderId="58" xfId="0" applyFont="1" applyFill="1" applyBorder="1" applyAlignment="1">
      <alignment horizontal="left" vertical="center"/>
    </xf>
    <xf numFmtId="0" fontId="3" fillId="4" borderId="59" xfId="0" applyFont="1" applyFill="1" applyBorder="1" applyAlignment="1">
      <alignment horizontal="left" vertical="center"/>
    </xf>
    <xf numFmtId="0" fontId="3" fillId="4" borderId="61" xfId="0" applyFont="1" applyFill="1" applyBorder="1" applyAlignment="1">
      <alignment horizontal="left" vertical="center"/>
    </xf>
    <xf numFmtId="0" fontId="3" fillId="4" borderId="60" xfId="0" applyFont="1" applyFill="1" applyBorder="1" applyAlignment="1">
      <alignment horizontal="left" vertical="center"/>
    </xf>
    <xf numFmtId="165" fontId="61" fillId="0" borderId="6" xfId="0" applyNumberFormat="1" applyFont="1" applyFill="1" applyBorder="1" applyAlignment="1">
      <alignment horizontal="right" vertical="center"/>
    </xf>
    <xf numFmtId="165" fontId="21" fillId="0" borderId="0" xfId="0" applyNumberFormat="1" applyFont="1" applyAlignment="1"/>
    <xf numFmtId="0" fontId="0" fillId="0" borderId="0" xfId="0" applyAlignment="1"/>
    <xf numFmtId="0" fontId="7" fillId="4" borderId="10" xfId="0" applyFont="1" applyFill="1" applyBorder="1" applyAlignment="1">
      <alignment horizontal="left" vertical="center"/>
    </xf>
    <xf numFmtId="0" fontId="0" fillId="4" borderId="43" xfId="0" applyFont="1" applyFill="1" applyBorder="1" applyAlignment="1">
      <alignment horizontal="left" vertical="center"/>
    </xf>
    <xf numFmtId="0" fontId="0" fillId="4" borderId="4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6" fillId="0" borderId="9" xfId="0" applyFont="1" applyFill="1" applyBorder="1" applyAlignment="1">
      <alignment vertical="center"/>
    </xf>
    <xf numFmtId="0" fontId="36" fillId="0" borderId="10" xfId="0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0" fontId="36" fillId="4" borderId="9" xfId="0" applyFont="1" applyFill="1" applyBorder="1" applyAlignment="1">
      <alignment vertical="center"/>
    </xf>
    <xf numFmtId="0" fontId="36" fillId="4" borderId="10" xfId="0" applyFont="1" applyFill="1" applyBorder="1" applyAlignment="1">
      <alignment vertical="center"/>
    </xf>
    <xf numFmtId="0" fontId="36" fillId="4" borderId="11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textRotation="90" wrapText="1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21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175" fontId="7" fillId="0" borderId="0" xfId="0" applyNumberFormat="1" applyFont="1" applyFill="1" applyBorder="1" applyAlignment="1">
      <alignment horizontal="right" vertical="center"/>
    </xf>
    <xf numFmtId="175" fontId="7" fillId="0" borderId="5" xfId="0" applyNumberFormat="1" applyFont="1" applyFill="1" applyBorder="1" applyAlignment="1">
      <alignment horizontal="right" vertical="center"/>
    </xf>
    <xf numFmtId="175" fontId="7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right" vertical="center"/>
    </xf>
    <xf numFmtId="0" fontId="13" fillId="4" borderId="10" xfId="0" applyFont="1" applyFill="1" applyBorder="1" applyAlignment="1">
      <alignment horizontal="right" vertical="center"/>
    </xf>
    <xf numFmtId="0" fontId="13" fillId="4" borderId="11" xfId="0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19" fillId="6" borderId="20" xfId="0" applyFont="1" applyFill="1" applyBorder="1" applyAlignment="1">
      <alignment horizontal="left" vertical="top" wrapText="1"/>
    </xf>
    <xf numFmtId="0" fontId="19" fillId="6" borderId="6" xfId="0" applyFont="1" applyFill="1" applyBorder="1" applyAlignment="1">
      <alignment horizontal="left" vertical="top" wrapText="1"/>
    </xf>
    <xf numFmtId="0" fontId="19" fillId="6" borderId="21" xfId="0" applyFont="1" applyFill="1" applyBorder="1" applyAlignment="1">
      <alignment horizontal="left" vertical="top" wrapText="1"/>
    </xf>
    <xf numFmtId="0" fontId="19" fillId="6" borderId="24" xfId="0" applyFont="1" applyFill="1" applyBorder="1" applyAlignment="1">
      <alignment horizontal="left" vertical="top" wrapText="1"/>
    </xf>
    <xf numFmtId="0" fontId="19" fillId="6" borderId="5" xfId="0" applyFont="1" applyFill="1" applyBorder="1" applyAlignment="1">
      <alignment horizontal="left" vertical="top" wrapText="1"/>
    </xf>
    <xf numFmtId="0" fontId="19" fillId="6" borderId="25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172" fontId="45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vertical="center"/>
    </xf>
    <xf numFmtId="0" fontId="36" fillId="3" borderId="10" xfId="0" applyFont="1" applyFill="1" applyBorder="1" applyAlignment="1">
      <alignment vertical="center"/>
    </xf>
    <xf numFmtId="0" fontId="36" fillId="3" borderId="11" xfId="0" applyFont="1" applyFill="1" applyBorder="1" applyAlignment="1">
      <alignment vertical="center"/>
    </xf>
    <xf numFmtId="0" fontId="3" fillId="3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166" fontId="17" fillId="4" borderId="9" xfId="0" applyNumberFormat="1" applyFont="1" applyFill="1" applyBorder="1" applyAlignment="1" applyProtection="1">
      <alignment horizontal="right" vertical="center"/>
      <protection locked="0"/>
    </xf>
    <xf numFmtId="166" fontId="17" fillId="4" borderId="11" xfId="0" applyNumberFormat="1" applyFont="1" applyFill="1" applyBorder="1" applyAlignment="1" applyProtection="1">
      <alignment horizontal="right" vertical="center"/>
      <protection locked="0"/>
    </xf>
    <xf numFmtId="0" fontId="17" fillId="4" borderId="9" xfId="0" applyFont="1" applyFill="1" applyBorder="1" applyAlignment="1" applyProtection="1">
      <alignment horizontal="left" vertical="center"/>
      <protection locked="0"/>
    </xf>
    <xf numFmtId="0" fontId="17" fillId="4" borderId="10" xfId="0" applyFont="1" applyFill="1" applyBorder="1" applyAlignment="1" applyProtection="1">
      <alignment horizontal="left" vertical="center"/>
      <protection locked="0"/>
    </xf>
    <xf numFmtId="0" fontId="17" fillId="4" borderId="11" xfId="0" applyFont="1" applyFill="1" applyBorder="1" applyAlignment="1" applyProtection="1">
      <alignment horizontal="left" vertical="center"/>
      <protection locked="0"/>
    </xf>
    <xf numFmtId="166" fontId="3" fillId="4" borderId="9" xfId="0" applyNumberFormat="1" applyFont="1" applyFill="1" applyBorder="1" applyAlignment="1" applyProtection="1">
      <alignment horizontal="right" vertical="center"/>
      <protection locked="0"/>
    </xf>
    <xf numFmtId="166" fontId="3" fillId="4" borderId="11" xfId="0" applyNumberFormat="1" applyFont="1" applyFill="1" applyBorder="1" applyAlignment="1" applyProtection="1">
      <alignment horizontal="right" vertical="center"/>
      <protection locked="0"/>
    </xf>
    <xf numFmtId="0" fontId="17" fillId="4" borderId="9" xfId="0" applyFont="1" applyFill="1" applyBorder="1" applyAlignment="1" applyProtection="1">
      <alignment horizontal="right" vertical="center"/>
      <protection locked="0"/>
    </xf>
    <xf numFmtId="0" fontId="17" fillId="4" borderId="11" xfId="0" applyFont="1" applyFill="1" applyBorder="1" applyAlignment="1" applyProtection="1">
      <alignment horizontal="right" vertical="center"/>
      <protection locked="0"/>
    </xf>
    <xf numFmtId="0" fontId="17" fillId="4" borderId="10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center" vertical="center" textRotation="90"/>
      <protection locked="0"/>
    </xf>
    <xf numFmtId="0" fontId="36" fillId="4" borderId="9" xfId="0" applyFont="1" applyFill="1" applyBorder="1" applyAlignment="1" applyProtection="1">
      <alignment horizontal="left" vertical="center"/>
      <protection locked="0"/>
    </xf>
    <xf numFmtId="0" fontId="36" fillId="4" borderId="10" xfId="0" applyFont="1" applyFill="1" applyBorder="1" applyAlignment="1" applyProtection="1">
      <alignment horizontal="left" vertical="center"/>
      <protection locked="0"/>
    </xf>
    <xf numFmtId="0" fontId="36" fillId="4" borderId="11" xfId="0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8" xfId="0" applyFont="1" applyFill="1" applyBorder="1" applyAlignment="1" applyProtection="1">
      <alignment horizontal="left" vertical="center"/>
      <protection locked="0"/>
    </xf>
    <xf numFmtId="165" fontId="22" fillId="3" borderId="8" xfId="0" applyNumberFormat="1" applyFont="1" applyFill="1" applyBorder="1" applyAlignment="1" applyProtection="1">
      <alignment horizontal="right"/>
      <protection locked="0"/>
    </xf>
    <xf numFmtId="169" fontId="17" fillId="4" borderId="9" xfId="0" applyNumberFormat="1" applyFont="1" applyFill="1" applyBorder="1" applyAlignment="1" applyProtection="1">
      <alignment horizontal="right" vertical="center"/>
      <protection locked="0"/>
    </xf>
    <xf numFmtId="169" fontId="17" fillId="4" borderId="10" xfId="0" applyNumberFormat="1" applyFont="1" applyFill="1" applyBorder="1" applyAlignment="1" applyProtection="1">
      <alignment horizontal="right" vertical="center"/>
      <protection locked="0"/>
    </xf>
    <xf numFmtId="169" fontId="17" fillId="4" borderId="11" xfId="0" applyNumberFormat="1" applyFont="1" applyFill="1" applyBorder="1" applyAlignment="1" applyProtection="1">
      <alignment horizontal="righ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17" fillId="3" borderId="9" xfId="0" applyFont="1" applyFill="1" applyBorder="1" applyAlignment="1" applyProtection="1">
      <alignment horizontal="left"/>
      <protection locked="0"/>
    </xf>
    <xf numFmtId="0" fontId="17" fillId="3" borderId="11" xfId="0" applyFont="1" applyFill="1" applyBorder="1" applyAlignment="1" applyProtection="1">
      <alignment horizontal="left"/>
      <protection locked="0"/>
    </xf>
    <xf numFmtId="165" fontId="33" fillId="4" borderId="9" xfId="0" applyNumberFormat="1" applyFont="1" applyFill="1" applyBorder="1" applyAlignment="1" applyProtection="1">
      <alignment horizontal="right" vertical="center"/>
      <protection locked="0"/>
    </xf>
    <xf numFmtId="165" fontId="33" fillId="4" borderId="11" xfId="0" applyNumberFormat="1" applyFont="1" applyFill="1" applyBorder="1" applyAlignment="1" applyProtection="1">
      <alignment horizontal="right" vertical="center"/>
      <protection locked="0"/>
    </xf>
    <xf numFmtId="0" fontId="47" fillId="0" borderId="0" xfId="0" applyFont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7" fillId="6" borderId="20" xfId="0" applyFont="1" applyFill="1" applyBorder="1" applyAlignment="1">
      <alignment horizontal="left" vertical="center" wrapText="1"/>
    </xf>
    <xf numFmtId="0" fontId="47" fillId="6" borderId="6" xfId="0" applyFont="1" applyFill="1" applyBorder="1" applyAlignment="1">
      <alignment horizontal="left" vertical="center" wrapText="1"/>
    </xf>
    <xf numFmtId="0" fontId="47" fillId="6" borderId="21" xfId="0" applyFont="1" applyFill="1" applyBorder="1" applyAlignment="1">
      <alignment horizontal="left" vertical="center" wrapText="1"/>
    </xf>
    <xf numFmtId="0" fontId="47" fillId="6" borderId="24" xfId="0" applyFont="1" applyFill="1" applyBorder="1" applyAlignment="1">
      <alignment horizontal="left" vertical="center" wrapText="1"/>
    </xf>
    <xf numFmtId="0" fontId="47" fillId="6" borderId="5" xfId="0" applyFont="1" applyFill="1" applyBorder="1" applyAlignment="1">
      <alignment horizontal="left" vertical="center" wrapText="1"/>
    </xf>
    <xf numFmtId="0" fontId="47" fillId="6" borderId="25" xfId="0" applyFont="1" applyFill="1" applyBorder="1" applyAlignment="1">
      <alignment horizontal="left" vertical="center" wrapText="1"/>
    </xf>
    <xf numFmtId="10" fontId="7" fillId="4" borderId="9" xfId="0" applyNumberFormat="1" applyFont="1" applyFill="1" applyBorder="1" applyAlignment="1">
      <alignment horizontal="left" vertical="center"/>
    </xf>
    <xf numFmtId="10" fontId="7" fillId="4" borderId="10" xfId="0" applyNumberFormat="1" applyFont="1" applyFill="1" applyBorder="1" applyAlignment="1">
      <alignment horizontal="left" vertical="center"/>
    </xf>
    <xf numFmtId="10" fontId="7" fillId="4" borderId="11" xfId="0" applyNumberFormat="1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0" fontId="0" fillId="4" borderId="11" xfId="0" applyFont="1" applyFill="1" applyBorder="1" applyAlignment="1">
      <alignment horizontal="left" vertical="center"/>
    </xf>
    <xf numFmtId="0" fontId="51" fillId="2" borderId="4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49" fontId="15" fillId="3" borderId="35" xfId="0" applyNumberFormat="1" applyFont="1" applyFill="1" applyBorder="1" applyAlignment="1">
      <alignment horizontal="center" vertical="center" textRotation="90"/>
    </xf>
    <xf numFmtId="49" fontId="15" fillId="3" borderId="36" xfId="0" applyNumberFormat="1" applyFont="1" applyFill="1" applyBorder="1" applyAlignment="1">
      <alignment horizontal="center" vertical="center" textRotation="90"/>
    </xf>
    <xf numFmtId="49" fontId="15" fillId="3" borderId="37" xfId="0" applyNumberFormat="1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 textRotation="90"/>
    </xf>
    <xf numFmtId="0" fontId="0" fillId="3" borderId="0" xfId="0" applyFill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49" fontId="0" fillId="3" borderId="2" xfId="0" applyNumberFormat="1" applyFill="1" applyBorder="1" applyAlignment="1">
      <alignment horizontal="center" vertical="center" textRotation="90"/>
    </xf>
    <xf numFmtId="49" fontId="0" fillId="3" borderId="0" xfId="0" applyNumberFormat="1" applyFill="1" applyBorder="1" applyAlignment="1">
      <alignment horizontal="center" vertical="center" textRotation="90"/>
    </xf>
    <xf numFmtId="49" fontId="0" fillId="3" borderId="1" xfId="0" applyNumberFormat="1" applyFill="1" applyBorder="1" applyAlignment="1">
      <alignment horizontal="center" vertical="center" textRotation="90"/>
    </xf>
    <xf numFmtId="0" fontId="0" fillId="0" borderId="0" xfId="0" applyNumberFormat="1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15" fillId="0" borderId="21" xfId="0" applyFont="1" applyBorder="1"/>
    <xf numFmtId="0" fontId="66" fillId="4" borderId="59" xfId="0" applyFont="1" applyFill="1" applyBorder="1" applyAlignment="1">
      <alignment vertical="center"/>
    </xf>
    <xf numFmtId="0" fontId="66" fillId="4" borderId="61" xfId="0" applyFont="1" applyFill="1" applyBorder="1" applyAlignment="1">
      <alignment vertical="center"/>
    </xf>
    <xf numFmtId="0" fontId="66" fillId="4" borderId="60" xfId="0" applyFont="1" applyFill="1" applyBorder="1" applyAlignment="1">
      <alignment vertical="center"/>
    </xf>
    <xf numFmtId="0" fontId="3" fillId="4" borderId="59" xfId="0" applyFont="1" applyFill="1" applyBorder="1" applyAlignment="1">
      <alignment vertical="center"/>
    </xf>
    <xf numFmtId="0" fontId="3" fillId="4" borderId="61" xfId="0" applyFont="1" applyFill="1" applyBorder="1" applyAlignment="1">
      <alignment vertical="center"/>
    </xf>
    <xf numFmtId="0" fontId="3" fillId="4" borderId="60" xfId="0" applyFont="1" applyFill="1" applyBorder="1" applyAlignment="1">
      <alignment vertical="center"/>
    </xf>
  </cellXfs>
  <cellStyles count="3">
    <cellStyle name="Hyperlink" xfId="2" builtinId="8"/>
    <cellStyle name="Standard" xfId="0" builtinId="0"/>
    <cellStyle name="Standard 2" xfId="1"/>
  </cellStyles>
  <dxfs count="9">
    <dxf>
      <font>
        <b val="0"/>
        <i val="0"/>
        <strike val="0"/>
        <color rgb="FFFF0000"/>
      </font>
      <numFmt numFmtId="30" formatCode="@"/>
    </dxf>
    <dxf>
      <font>
        <color rgb="FFFF0000"/>
      </font>
    </dxf>
    <dxf>
      <font>
        <color rgb="FFFF0000"/>
      </font>
    </dxf>
    <dxf>
      <font>
        <color theme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15</xdr:row>
      <xdr:rowOff>180975</xdr:rowOff>
    </xdr:from>
    <xdr:to>
      <xdr:col>22</xdr:col>
      <xdr:colOff>28574</xdr:colOff>
      <xdr:row>27</xdr:row>
      <xdr:rowOff>66675</xdr:rowOff>
    </xdr:to>
    <xdr:sp macro="" textlink="">
      <xdr:nvSpPr>
        <xdr:cNvPr id="2" name="Textfeld 1"/>
        <xdr:cNvSpPr txBox="1"/>
      </xdr:nvSpPr>
      <xdr:spPr>
        <a:xfrm>
          <a:off x="7229475" y="3752850"/>
          <a:ext cx="8829674" cy="2562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2000" b="1">
              <a:solidFill>
                <a:srgbClr val="0000FF"/>
              </a:solidFill>
            </a:rPr>
            <a:t>Zusätzliche Register im Gesamtverzeichnis berücksichtigen:</a:t>
          </a:r>
        </a:p>
        <a:p>
          <a:r>
            <a:rPr lang="de-AT" sz="1400" b="1">
              <a:solidFill>
                <a:srgbClr val="0000FF"/>
              </a:solidFill>
            </a:rPr>
            <a:t>Falls zusätzliche Register durch Kopieren von normalen Registern (z.B. 4.4.2 &gt; 4.4.2w)</a:t>
          </a:r>
          <a:r>
            <a:rPr lang="de-AT" sz="1400" b="1" baseline="0">
              <a:solidFill>
                <a:srgbClr val="0000FF"/>
              </a:solidFill>
            </a:rPr>
            <a:t> oder dem DUMMY-Register für Kalkulationen nach Zeitaufwand im Gesamtverzeichnis berücksichtigt werden sollen, dann ist wie folgt vorzugehen:</a:t>
          </a:r>
        </a:p>
        <a:p>
          <a:r>
            <a:rPr lang="de-AT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1.) Im grauen</a:t>
          </a:r>
          <a:r>
            <a:rPr lang="de-AT" sz="1100" b="1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Feld unten den </a:t>
          </a:r>
          <a:r>
            <a:rPr lang="de-AT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Bereich  von der Einfügeposition bis zum Ende des blauen Bereiches markieren </a:t>
          </a:r>
        </a:p>
        <a:p>
          <a:r>
            <a:rPr lang="de-AT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soll</a:t>
          </a:r>
          <a:r>
            <a:rPr lang="de-AT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z.B. hinter Register </a:t>
          </a:r>
          <a:r>
            <a:rPr lang="de-AT" sz="1100" b="0" i="1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4.4.2</a:t>
          </a:r>
          <a:r>
            <a:rPr lang="de-AT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ein Register </a:t>
          </a:r>
          <a:r>
            <a:rPr lang="de-AT" sz="1100" b="0" i="1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4.4.2w</a:t>
          </a:r>
          <a:r>
            <a:rPr lang="de-AT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für Wiederholungsmessungen eingefügte werden, </a:t>
          </a:r>
          <a:endParaRPr lang="de-AT" sz="1400" b="0">
            <a:solidFill>
              <a:sysClr val="windowText" lastClr="000000"/>
            </a:solidFill>
          </a:endParaRPr>
        </a:p>
        <a:p>
          <a:r>
            <a:rPr lang="de-AT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dann den Bereich L38 bis S58</a:t>
          </a:r>
          <a:r>
            <a:rPr lang="de-AT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mit linker Maustaste markieren </a:t>
          </a:r>
        </a:p>
        <a:p>
          <a:r>
            <a:rPr lang="de-AT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0" u="none" strike="noStrike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(Achtung: Einfügung nur hinter Register 3.1 und vor Register 6.3 erlaubt!!!)</a:t>
          </a:r>
          <a:endParaRPr lang="de-AT" sz="1400">
            <a:solidFill>
              <a:srgbClr val="C00000"/>
            </a:solidFill>
          </a:endParaRPr>
        </a:p>
        <a:p>
          <a:r>
            <a:rPr lang="de-AT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2.) mit STRG X Bereich Ausschneiden und eine Zeile tiefer</a:t>
          </a:r>
          <a:r>
            <a:rPr lang="de-AT" sz="1100" b="1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(Zelle L45) wieder einfügen</a:t>
          </a:r>
          <a:endParaRPr lang="de-AT" sz="1400" b="1">
            <a:solidFill>
              <a:srgbClr val="0000FF"/>
            </a:solidFill>
          </a:endParaRPr>
        </a:p>
        <a:p>
          <a:r>
            <a:rPr lang="de-AT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3.) Zeilenbereich über der weißen Spalte herunterkopieren (L37-S37 kopieren</a:t>
          </a:r>
          <a:r>
            <a:rPr lang="de-AT" sz="1100" b="1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nach L38-S38)</a:t>
          </a:r>
        </a:p>
        <a:p>
          <a:r>
            <a:rPr lang="de-AT" sz="1100" b="1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4.) Neuen Zeilenbereich markieren und mit Ersetzen-Funktion (Start  - Suchen und Auswählen - Ersetzen) Register </a:t>
          </a:r>
          <a:r>
            <a:rPr lang="de-AT" sz="1100" b="1" i="1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4.4.2</a:t>
          </a:r>
          <a:r>
            <a:rPr lang="de-AT" sz="1100" b="1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durch </a:t>
          </a:r>
          <a:r>
            <a:rPr lang="de-AT" sz="1100" b="1" i="1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4.4.2w</a:t>
          </a:r>
          <a:r>
            <a:rPr lang="de-AT" sz="1100" b="1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ersetzen</a:t>
          </a:r>
        </a:p>
        <a:p>
          <a:r>
            <a:rPr lang="de-AT" sz="1100" b="1" i="0" u="none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1" i="0" u="none" strike="noStrike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Achtung: </a:t>
          </a:r>
          <a:r>
            <a:rPr lang="de-AT" sz="1100" b="0" i="0" u="none" strike="noStrike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Register </a:t>
          </a:r>
          <a:r>
            <a:rPr lang="de-AT" sz="1100" b="0" i="1" u="none" strike="noStrike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4.4.2w</a:t>
          </a:r>
          <a:r>
            <a:rPr lang="de-AT" sz="1100" b="0" i="0" u="none" strike="noStrike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muss zu diesem Zeitpunkt schon existieren</a:t>
          </a:r>
        </a:p>
        <a:p>
          <a:r>
            <a:rPr lang="de-AT" sz="11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0" u="none" strike="noStrike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(zur Kontrolle: 9 Ersetzungen werden vorgenommen)</a:t>
          </a:r>
          <a:endParaRPr lang="de-AT" sz="1400" b="0">
            <a:solidFill>
              <a:srgbClr val="C00000"/>
            </a:solidFill>
          </a:endParaRPr>
        </a:p>
        <a:p>
          <a:r>
            <a:rPr lang="de-AT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de-AT" sz="1400" b="1" i="0" u="none" strike="noStrike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600076</xdr:colOff>
      <xdr:row>35</xdr:row>
      <xdr:rowOff>33337</xdr:rowOff>
    </xdr:from>
    <xdr:ext cx="323850" cy="5000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1314451" y="7910512"/>
              <a:ext cx="323850" cy="5000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de-AT" sz="900" i="1">
                            <a:latin typeface="Cambria Math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de-AT" sz="90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m:rPr>
                                <m:sty m:val="p"/>
                              </m:rPr>
                              <a:rPr lang="de-DE" sz="900" b="0" i="0">
                                <a:latin typeface="Cambria Math"/>
                              </a:rPr>
                              <m:t>F</m:t>
                            </m:r>
                          </m:num>
                          <m:den>
                            <m:r>
                              <m:rPr>
                                <m:sty m:val="p"/>
                              </m:rPr>
                              <a:rPr lang="de-DE" sz="900" b="0" i="0">
                                <a:latin typeface="Cambria Math"/>
                              </a:rPr>
                              <m:t>S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de-AT" sz="9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1314451" y="7910512"/>
              <a:ext cx="323850" cy="5000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AT" sz="900" i="0">
                  <a:latin typeface="+mn-lt"/>
                </a:rPr>
                <a:t>√(</a:t>
              </a:r>
              <a:r>
                <a:rPr lang="de-DE" sz="900" b="0" i="0">
                  <a:latin typeface="+mn-lt"/>
                </a:rPr>
                <a:t>F</a:t>
              </a:r>
              <a:r>
                <a:rPr lang="de-AT" sz="900" b="0" i="0">
                  <a:latin typeface="+mn-lt"/>
                </a:rPr>
                <a:t>/</a:t>
              </a:r>
              <a:r>
                <a:rPr lang="de-DE" sz="900" b="0" i="0">
                  <a:latin typeface="+mn-lt"/>
                </a:rPr>
                <a:t>S</a:t>
              </a:r>
              <a:r>
                <a:rPr lang="de-AT" sz="900" b="0" i="0">
                  <a:latin typeface="+mn-lt"/>
                </a:rPr>
                <a:t>)</a:t>
              </a:r>
              <a:endParaRPr lang="de-AT" sz="900" i="0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214312</xdr:colOff>
      <xdr:row>31</xdr:row>
      <xdr:rowOff>142877</xdr:rowOff>
    </xdr:from>
    <xdr:ext cx="366713" cy="3159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928687" y="7258052"/>
              <a:ext cx="366713" cy="315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de-AT" sz="600" i="1">
                            <a:latin typeface="Cambria Math"/>
                          </a:rPr>
                        </m:ctrlPr>
                      </m:naryPr>
                      <m:sub/>
                      <m:sup/>
                      <m:e/>
                    </m:nary>
                  </m:oMath>
                </m:oMathPara>
              </a14:m>
              <a:endParaRPr lang="de-AT" sz="600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928687" y="7258052"/>
              <a:ext cx="366713" cy="315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AT" sz="600" i="0">
                  <a:latin typeface="+mn-lt"/>
                </a:rPr>
                <a:t>∑</a:t>
              </a:r>
              <a:endParaRPr lang="de-AT" sz="6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</xdr:col>
      <xdr:colOff>23812</xdr:colOff>
      <xdr:row>31</xdr:row>
      <xdr:rowOff>142877</xdr:rowOff>
    </xdr:from>
    <xdr:ext cx="366713" cy="3159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1585912" y="7258052"/>
              <a:ext cx="366713" cy="315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subHide m:val="on"/>
                        <m:supHide m:val="on"/>
                        <m:ctrlPr>
                          <a:rPr lang="de-AT" sz="600" i="1">
                            <a:latin typeface="Cambria Math"/>
                          </a:rPr>
                        </m:ctrlPr>
                      </m:naryPr>
                      <m:sub/>
                      <m:sup/>
                      <m:e/>
                    </m:nary>
                  </m:oMath>
                </m:oMathPara>
              </a14:m>
              <a:endParaRPr lang="de-AT" sz="600">
                <a:latin typeface="+mn-lt"/>
              </a:endParaRP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1585912" y="7258052"/>
              <a:ext cx="366713" cy="315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AT" sz="600" i="0">
                  <a:latin typeface="+mn-lt"/>
                </a:rPr>
                <a:t>∑</a:t>
              </a:r>
              <a:endParaRPr lang="de-AT" sz="600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5</xdr:row>
      <xdr:rowOff>19049</xdr:rowOff>
    </xdr:from>
    <xdr:to>
      <xdr:col>20</xdr:col>
      <xdr:colOff>76200</xdr:colOff>
      <xdr:row>21</xdr:row>
      <xdr:rowOff>123825</xdr:rowOff>
    </xdr:to>
    <xdr:sp macro="" textlink="">
      <xdr:nvSpPr>
        <xdr:cNvPr id="2" name="Textfeld 1"/>
        <xdr:cNvSpPr txBox="1"/>
      </xdr:nvSpPr>
      <xdr:spPr>
        <a:xfrm>
          <a:off x="6848475" y="1123949"/>
          <a:ext cx="7686675" cy="315277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2000" b="1">
              <a:solidFill>
                <a:srgbClr val="0000FF"/>
              </a:solidFill>
            </a:rPr>
            <a:t>ACHTUNG:</a:t>
          </a:r>
        </a:p>
        <a:p>
          <a:r>
            <a:rPr lang="de-AT" sz="1400" b="1">
              <a:solidFill>
                <a:srgbClr val="0000FF"/>
              </a:solidFill>
            </a:rPr>
            <a:t>Bevor</a:t>
          </a:r>
          <a:r>
            <a:rPr lang="de-AT" sz="1400" b="1" baseline="0">
              <a:solidFill>
                <a:srgbClr val="0000FF"/>
              </a:solidFill>
            </a:rPr>
            <a:t> Sie mit der Eingabe beginnen sollten sie eine Kopie dieser Regiesterkarte erstellen, da diese sonst für weitere  Vorlagen nicht mehr verwendbar ist.</a:t>
          </a:r>
        </a:p>
        <a:p>
          <a:endParaRPr lang="de-AT" sz="1400" b="1" baseline="0">
            <a:solidFill>
              <a:srgbClr val="0000FF"/>
            </a:solidFill>
          </a:endParaRPr>
        </a:p>
        <a:p>
          <a:r>
            <a:rPr lang="de-AT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1.) Register kopieren</a:t>
          </a:r>
          <a:r>
            <a:rPr lang="de-AT" sz="1400" b="1">
              <a:solidFill>
                <a:srgbClr val="0000FF"/>
              </a:solidFill>
            </a:rPr>
            <a:t> </a:t>
          </a:r>
        </a:p>
        <a:p>
          <a:r>
            <a:rPr lang="de-AT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rechte Maustaste auf "DUMMY"</a:t>
          </a:r>
          <a:r>
            <a:rPr lang="de-AT" sz="1400"/>
            <a:t> </a:t>
          </a:r>
        </a:p>
        <a:p>
          <a:r>
            <a:rPr lang="de-AT" sz="14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Verschieben oder kopieren</a:t>
          </a:r>
          <a:r>
            <a:rPr lang="de-AT" sz="1400"/>
            <a:t> </a:t>
          </a:r>
        </a:p>
        <a:p>
          <a:r>
            <a:rPr lang="de-AT" sz="14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Kopie erstellen</a:t>
          </a:r>
          <a:r>
            <a:rPr lang="de-A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markieren &gt; OK</a:t>
          </a:r>
          <a:r>
            <a:rPr lang="de-AT" sz="1400"/>
            <a:t> </a:t>
          </a:r>
        </a:p>
        <a:p>
          <a:r>
            <a:rPr lang="de-AT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2.) neues Register DUMMY (2) editieren</a:t>
          </a:r>
          <a:r>
            <a:rPr lang="de-AT" sz="1400" b="1">
              <a:solidFill>
                <a:srgbClr val="0000FF"/>
              </a:solidFill>
            </a:rPr>
            <a:t> </a:t>
          </a:r>
        </a:p>
        <a:p>
          <a:r>
            <a:rPr lang="de-AT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rechte Maustaste auf Registernamen DUMMY (2) &gt; Umbenennen</a:t>
          </a:r>
          <a:r>
            <a:rPr lang="de-AT" sz="1400"/>
            <a:t> </a:t>
          </a:r>
          <a:r>
            <a:rPr lang="de-AT" sz="1100"/>
            <a:t>(sinnvollerweise LB_VG-Positions-Nummer)</a:t>
          </a:r>
        </a:p>
        <a:p>
          <a:r>
            <a:rPr lang="de-AT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Zur besseren Lesbarkeit mit gedrückter linker Maustaste das neue Register auf die gewünschte Position ziehen</a:t>
          </a:r>
          <a:r>
            <a:rPr lang="de-AT" sz="1400"/>
            <a:t> </a:t>
          </a:r>
        </a:p>
        <a:p>
          <a:r>
            <a:rPr lang="de-AT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3.) neues Register im GESAMT-Verzeichnis implementieren</a:t>
          </a:r>
          <a:r>
            <a:rPr lang="de-AT" sz="1400" b="1">
              <a:solidFill>
                <a:srgbClr val="0000FF"/>
              </a:solidFill>
            </a:rPr>
            <a:t> </a:t>
          </a:r>
        </a:p>
        <a:p>
          <a:r>
            <a:rPr lang="de-AT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de-AT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siehe Anweisung im Register </a:t>
          </a:r>
          <a:r>
            <a:rPr lang="de-AT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Gesamt</a:t>
          </a:r>
          <a:r>
            <a:rPr lang="de-AT" sz="1400"/>
            <a:t> </a:t>
          </a:r>
          <a:endParaRPr lang="de-AT" sz="1400" b="1" i="0" u="none" strike="noStrike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H29" sqref="H29"/>
    </sheetView>
  </sheetViews>
  <sheetFormatPr baseColWidth="10" defaultRowHeight="15" x14ac:dyDescent="0.25"/>
  <cols>
    <col min="1" max="1" width="2" style="44" bestFit="1" customWidth="1"/>
    <col min="2" max="2" width="5" style="382" bestFit="1" customWidth="1"/>
    <col min="3" max="3" width="10.140625" style="382" bestFit="1" customWidth="1"/>
    <col min="4" max="4" width="88.5703125" style="45" customWidth="1"/>
    <col min="5" max="5" width="5" customWidth="1"/>
  </cols>
  <sheetData>
    <row r="1" spans="1:5" x14ac:dyDescent="0.25">
      <c r="A1" s="40">
        <v>3</v>
      </c>
      <c r="B1" s="381"/>
      <c r="C1" s="381"/>
      <c r="D1" s="41" t="s">
        <v>90</v>
      </c>
      <c r="E1" s="4"/>
    </row>
    <row r="2" spans="1:5" s="932" customFormat="1" x14ac:dyDescent="0.25">
      <c r="A2" s="472"/>
      <c r="B2" s="381" t="s">
        <v>721</v>
      </c>
      <c r="C2" s="381"/>
      <c r="D2" s="424" t="s">
        <v>956</v>
      </c>
      <c r="E2" s="429"/>
    </row>
    <row r="3" spans="1:5" x14ac:dyDescent="0.25">
      <c r="A3" s="40"/>
      <c r="B3" s="381"/>
      <c r="C3" s="381"/>
      <c r="D3" s="43"/>
      <c r="E3" s="4"/>
    </row>
    <row r="4" spans="1:5" x14ac:dyDescent="0.25">
      <c r="A4" s="40">
        <v>4</v>
      </c>
      <c r="B4" s="381"/>
      <c r="C4" s="381"/>
      <c r="D4" s="41" t="s">
        <v>91</v>
      </c>
      <c r="E4" s="4"/>
    </row>
    <row r="5" spans="1:5" x14ac:dyDescent="0.25">
      <c r="A5" s="40"/>
      <c r="B5" s="381" t="s">
        <v>722</v>
      </c>
      <c r="C5" s="381"/>
      <c r="D5" s="42" t="s">
        <v>92</v>
      </c>
      <c r="E5" s="4"/>
    </row>
    <row r="6" spans="1:5" x14ac:dyDescent="0.25">
      <c r="A6" s="40"/>
      <c r="B6" s="381"/>
      <c r="C6" s="381" t="s">
        <v>723</v>
      </c>
      <c r="D6" s="694" t="s">
        <v>819</v>
      </c>
      <c r="E6" s="4"/>
    </row>
    <row r="7" spans="1:5" s="425" customFormat="1" x14ac:dyDescent="0.25">
      <c r="A7" s="472"/>
      <c r="B7" s="381"/>
      <c r="C7" s="381" t="s">
        <v>818</v>
      </c>
      <c r="D7" s="424" t="s">
        <v>820</v>
      </c>
      <c r="E7" s="429"/>
    </row>
    <row r="8" spans="1:5" x14ac:dyDescent="0.25">
      <c r="A8" s="40"/>
      <c r="B8" s="381"/>
      <c r="C8" s="381" t="s">
        <v>724</v>
      </c>
      <c r="D8" s="424" t="s">
        <v>505</v>
      </c>
      <c r="E8" s="4"/>
    </row>
    <row r="9" spans="1:5" x14ac:dyDescent="0.25">
      <c r="A9" s="40"/>
      <c r="B9" s="381" t="s">
        <v>725</v>
      </c>
      <c r="C9" s="381"/>
      <c r="D9" s="424" t="s">
        <v>93</v>
      </c>
      <c r="E9" s="4"/>
    </row>
    <row r="10" spans="1:5" x14ac:dyDescent="0.25">
      <c r="A10" s="40"/>
      <c r="B10" s="381" t="s">
        <v>726</v>
      </c>
      <c r="C10" s="381"/>
      <c r="D10" s="424" t="s">
        <v>94</v>
      </c>
      <c r="E10" s="4"/>
    </row>
    <row r="11" spans="1:5" x14ac:dyDescent="0.25">
      <c r="A11" s="40"/>
      <c r="B11" s="381" t="s">
        <v>727</v>
      </c>
      <c r="C11" s="381"/>
      <c r="D11" s="42" t="s">
        <v>95</v>
      </c>
      <c r="E11" s="4"/>
    </row>
    <row r="12" spans="1:5" s="425" customFormat="1" x14ac:dyDescent="0.25">
      <c r="A12" s="472"/>
      <c r="B12" s="381"/>
      <c r="C12" s="381" t="s">
        <v>821</v>
      </c>
      <c r="D12" s="694" t="s">
        <v>823</v>
      </c>
      <c r="E12" s="429"/>
    </row>
    <row r="13" spans="1:5" x14ac:dyDescent="0.25">
      <c r="A13" s="40"/>
      <c r="B13" s="381"/>
      <c r="C13" s="381" t="s">
        <v>728</v>
      </c>
      <c r="D13" s="424" t="s">
        <v>623</v>
      </c>
      <c r="E13" s="4"/>
    </row>
    <row r="14" spans="1:5" s="425" customFormat="1" x14ac:dyDescent="0.25">
      <c r="A14" s="472"/>
      <c r="B14" s="381"/>
      <c r="C14" s="381" t="s">
        <v>729</v>
      </c>
      <c r="D14" s="424" t="s">
        <v>824</v>
      </c>
      <c r="E14" s="429"/>
    </row>
    <row r="15" spans="1:5" s="425" customFormat="1" x14ac:dyDescent="0.25">
      <c r="A15" s="472"/>
      <c r="B15" s="381"/>
      <c r="C15" s="381" t="s">
        <v>822</v>
      </c>
      <c r="D15" s="424" t="s">
        <v>825</v>
      </c>
      <c r="E15" s="429"/>
    </row>
    <row r="16" spans="1:5" x14ac:dyDescent="0.25">
      <c r="A16" s="40"/>
      <c r="B16" s="381" t="s">
        <v>733</v>
      </c>
      <c r="C16" s="381"/>
      <c r="D16" s="424" t="s">
        <v>96</v>
      </c>
      <c r="E16" s="4"/>
    </row>
    <row r="17" spans="1:5" x14ac:dyDescent="0.25">
      <c r="A17" s="40"/>
      <c r="B17" s="381" t="s">
        <v>734</v>
      </c>
      <c r="C17" s="381"/>
      <c r="D17" s="424" t="s">
        <v>97</v>
      </c>
      <c r="E17" s="4"/>
    </row>
    <row r="18" spans="1:5" x14ac:dyDescent="0.25">
      <c r="A18" s="40"/>
      <c r="B18" s="381" t="s">
        <v>735</v>
      </c>
      <c r="C18" s="381"/>
      <c r="D18" s="225" t="s">
        <v>98</v>
      </c>
      <c r="E18" s="4"/>
    </row>
    <row r="19" spans="1:5" x14ac:dyDescent="0.25">
      <c r="A19" s="40"/>
      <c r="B19" s="381"/>
      <c r="C19" s="381" t="s">
        <v>730</v>
      </c>
      <c r="D19" s="424" t="s">
        <v>99</v>
      </c>
      <c r="E19" s="4"/>
    </row>
    <row r="20" spans="1:5" x14ac:dyDescent="0.25">
      <c r="A20" s="40"/>
      <c r="B20" s="381"/>
      <c r="C20" s="381" t="s">
        <v>731</v>
      </c>
      <c r="D20" s="424" t="s">
        <v>100</v>
      </c>
      <c r="E20" s="4"/>
    </row>
    <row r="21" spans="1:5" x14ac:dyDescent="0.25">
      <c r="A21" s="40"/>
      <c r="B21" s="381"/>
      <c r="C21" s="381" t="s">
        <v>732</v>
      </c>
      <c r="D21" s="424" t="s">
        <v>101</v>
      </c>
      <c r="E21" s="4"/>
    </row>
    <row r="22" spans="1:5" x14ac:dyDescent="0.25">
      <c r="A22" s="40"/>
      <c r="B22" s="381"/>
      <c r="C22" s="381" t="s">
        <v>736</v>
      </c>
      <c r="D22" s="424" t="s">
        <v>102</v>
      </c>
      <c r="E22" s="4"/>
    </row>
    <row r="23" spans="1:5" x14ac:dyDescent="0.25">
      <c r="A23" s="40"/>
      <c r="B23" s="381" t="s">
        <v>737</v>
      </c>
      <c r="C23" s="381"/>
      <c r="D23" s="424" t="s">
        <v>103</v>
      </c>
      <c r="E23" s="4"/>
    </row>
    <row r="24" spans="1:5" x14ac:dyDescent="0.25">
      <c r="A24" s="40"/>
      <c r="B24" s="381" t="s">
        <v>738</v>
      </c>
      <c r="C24" s="381"/>
      <c r="D24" s="424" t="s">
        <v>104</v>
      </c>
      <c r="E24" s="4"/>
    </row>
    <row r="25" spans="1:5" x14ac:dyDescent="0.25">
      <c r="A25" s="40"/>
      <c r="B25" s="381" t="s">
        <v>739</v>
      </c>
      <c r="C25" s="381"/>
      <c r="D25" s="424" t="s">
        <v>105</v>
      </c>
      <c r="E25" s="4"/>
    </row>
    <row r="26" spans="1:5" x14ac:dyDescent="0.25">
      <c r="A26" s="40"/>
      <c r="B26" s="381" t="s">
        <v>740</v>
      </c>
      <c r="C26" s="381"/>
      <c r="D26" s="424" t="s">
        <v>106</v>
      </c>
      <c r="E26" s="4"/>
    </row>
    <row r="27" spans="1:5" x14ac:dyDescent="0.25">
      <c r="A27" s="40"/>
      <c r="B27" s="381" t="s">
        <v>741</v>
      </c>
      <c r="C27" s="381"/>
      <c r="D27" s="424" t="s">
        <v>107</v>
      </c>
      <c r="E27" s="4"/>
    </row>
    <row r="28" spans="1:5" x14ac:dyDescent="0.25">
      <c r="A28" s="40"/>
      <c r="B28" s="381" t="s">
        <v>742</v>
      </c>
      <c r="C28" s="381"/>
      <c r="D28" s="424" t="s">
        <v>108</v>
      </c>
      <c r="E28" s="4"/>
    </row>
    <row r="29" spans="1:5" x14ac:dyDescent="0.25">
      <c r="A29" s="40"/>
      <c r="B29" s="381" t="s">
        <v>743</v>
      </c>
      <c r="C29" s="381"/>
      <c r="D29" s="424" t="s">
        <v>109</v>
      </c>
      <c r="E29" s="4"/>
    </row>
    <row r="30" spans="1:5" x14ac:dyDescent="0.25">
      <c r="A30" s="40"/>
      <c r="B30" s="381" t="s">
        <v>744</v>
      </c>
      <c r="C30" s="381"/>
      <c r="D30" s="424" t="s">
        <v>110</v>
      </c>
      <c r="E30" s="4"/>
    </row>
    <row r="31" spans="1:5" x14ac:dyDescent="0.25">
      <c r="A31" s="40"/>
      <c r="B31" s="381"/>
      <c r="C31" s="381"/>
      <c r="D31" s="43"/>
      <c r="E31" s="4"/>
    </row>
    <row r="32" spans="1:5" x14ac:dyDescent="0.25">
      <c r="A32" s="40">
        <v>5</v>
      </c>
      <c r="B32" s="381"/>
      <c r="C32" s="381"/>
      <c r="D32" s="41" t="s">
        <v>111</v>
      </c>
      <c r="E32" s="4"/>
    </row>
    <row r="33" spans="1:5" x14ac:dyDescent="0.25">
      <c r="A33" s="40"/>
      <c r="B33" s="381" t="s">
        <v>745</v>
      </c>
      <c r="C33" s="381"/>
      <c r="D33" s="424" t="s">
        <v>112</v>
      </c>
      <c r="E33" s="4"/>
    </row>
    <row r="34" spans="1:5" x14ac:dyDescent="0.25">
      <c r="A34" s="40"/>
      <c r="B34" s="381"/>
      <c r="C34" s="381"/>
      <c r="D34" s="43"/>
      <c r="E34" s="4"/>
    </row>
    <row r="35" spans="1:5" x14ac:dyDescent="0.25">
      <c r="A35" s="40">
        <v>6</v>
      </c>
      <c r="B35" s="381"/>
      <c r="C35" s="381"/>
      <c r="D35" s="41" t="s">
        <v>113</v>
      </c>
      <c r="E35" s="4"/>
    </row>
    <row r="36" spans="1:5" x14ac:dyDescent="0.25">
      <c r="A36" s="40"/>
      <c r="B36" s="381" t="s">
        <v>746</v>
      </c>
      <c r="C36" s="381"/>
      <c r="D36" s="424" t="s">
        <v>114</v>
      </c>
      <c r="E36" s="4"/>
    </row>
    <row r="37" spans="1:5" x14ac:dyDescent="0.25">
      <c r="A37" s="40"/>
      <c r="B37" s="381" t="s">
        <v>747</v>
      </c>
      <c r="C37" s="381"/>
      <c r="D37" s="694" t="s">
        <v>115</v>
      </c>
      <c r="E37" s="4"/>
    </row>
    <row r="38" spans="1:5" x14ac:dyDescent="0.25">
      <c r="A38" s="40"/>
      <c r="B38" s="381" t="s">
        <v>748</v>
      </c>
      <c r="C38" s="381"/>
      <c r="D38" s="424" t="s">
        <v>1</v>
      </c>
      <c r="E38" s="4"/>
    </row>
    <row r="39" spans="1:5" x14ac:dyDescent="0.25">
      <c r="A39" s="40"/>
      <c r="B39" s="381"/>
      <c r="C39" s="381"/>
      <c r="D39" s="43"/>
      <c r="E39" s="4"/>
    </row>
  </sheetData>
  <hyperlinks>
    <hyperlink ref="D19" location="'4.7.1'!A1" display="Lage- und Höhenplan mit Höhenkoten und Höhenlinien"/>
    <hyperlink ref="D20" location="'4.7.2'!A1" display="3d-Planerstellung auf Basis eines 2,5d-Lage- und Höhenplanes"/>
    <hyperlink ref="D21" location="'4.7.3'!A1" display="Umbildung einer Geländeaufnahme durch Maßstabsänderung"/>
    <hyperlink ref="D22" location="'4.7.4'!A1" display="Umbildung einer Geländeaufnahme vom analogen auf digitalen Datenträger"/>
    <hyperlink ref="D23" location="'4.8'!A1" display="Nutzflächenermittlung"/>
    <hyperlink ref="D24" location="'4.9'!A1" display="Herstellung von Baubestandsplänen"/>
    <hyperlink ref="D26" location="'4.11'!A1" display="Absteckungen"/>
    <hyperlink ref="D27" location="'4.12'!A1" display="Achseinrechnung und Berechnung von Achszwischenpunkten"/>
    <hyperlink ref="D30" location="'4.15'!A1" display="Signalisierung und Stabilisierung"/>
    <hyperlink ref="D8" location="'4.1.3'!A1" display="Polygonzug"/>
    <hyperlink ref="D9" location="'4.2'!A1" display="Einzelpunkteinschaltung"/>
    <hyperlink ref="D10" location="'4.3'!A1" display="Kreisel-Stütz-Azimut"/>
    <hyperlink ref="D13" location="'4.4.2'!A1" display="Setzungsmessung, Flächennivellement"/>
    <hyperlink ref="D14" location="'4.4.x'!A1" display="Detailpunkte - Zwangspunkte"/>
    <hyperlink ref="D17" location="'4.6'!A1" display="Nivellement"/>
    <hyperlink ref="D25" location="'4.10'!A1" display="Herstellung von Profilen"/>
    <hyperlink ref="D28" location="'4.13'!A1" display="Photogrammetrie"/>
    <hyperlink ref="D37" location="'6.2'!A1" display="Regieleistungen"/>
    <hyperlink ref="D36" location="'6.1'!A1" display="Kanzleihonorare"/>
    <hyperlink ref="D38" location="'6.3'!A1" display="Nebenkosten"/>
    <hyperlink ref="D29" location="'4.14'!A1" display="Laserscanning"/>
    <hyperlink ref="D33" location="'5.1'!A1" display="Bearbeitungsaufwand"/>
    <hyperlink ref="D6" location="'4.1.x'!A1" display="Netzmessung  (bis 600m durchschn. Seitenlänge)"/>
    <hyperlink ref="D7" location="'4.1.x'!A1" display="Netzmessung  (über 600m durchschn. Seitenlänge)"/>
    <hyperlink ref="D15" location="'4.4.x'!A1" display="Detailpunkte - Kontrollaufnahme (Soll-Ist-Vergleich)"/>
    <hyperlink ref="D12" location="'4.4.x'!A1" display="Detailpunkte - Deformationsmessung"/>
    <hyperlink ref="D16" location="'4.5'!A1" display="Punktbestimmung durch kinematische GNSS-Messung"/>
    <hyperlink ref="D2" location="'3.1'!A1" display=" Tätigkeiten, die bei jeder Katastervermessung zu erfolgen haben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zoomScaleNormal="100" workbookViewId="0">
      <selection activeCell="C22" sqref="C22"/>
    </sheetView>
  </sheetViews>
  <sheetFormatPr baseColWidth="10" defaultRowHeight="15" x14ac:dyDescent="0.25"/>
  <cols>
    <col min="1" max="1" width="4" style="425" customWidth="1"/>
    <col min="2" max="2" width="4.7109375" style="425" customWidth="1"/>
    <col min="3" max="3" width="5.7109375" style="425" customWidth="1"/>
    <col min="4" max="4" width="35.7109375" style="425" customWidth="1"/>
    <col min="5" max="7" width="8.42578125" style="425" customWidth="1"/>
    <col min="8" max="8" width="11.42578125" style="425" customWidth="1"/>
    <col min="9" max="9" width="4.28515625" style="425" customWidth="1"/>
    <col min="10" max="16384" width="11.42578125" style="425"/>
  </cols>
  <sheetData>
    <row r="1" spans="1:21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CELL("ZEILE",B55)</f>
        <v>55</v>
      </c>
    </row>
    <row r="2" spans="1:21" ht="21" x14ac:dyDescent="0.25">
      <c r="A2" s="975"/>
      <c r="B2" s="475"/>
      <c r="C2" s="1033" t="s">
        <v>829</v>
      </c>
      <c r="D2" s="1034"/>
      <c r="E2" s="1034"/>
      <c r="F2" s="1034"/>
      <c r="G2" s="1034"/>
      <c r="H2" s="1035"/>
      <c r="I2" s="474"/>
      <c r="K2" s="268" t="s">
        <v>793</v>
      </c>
      <c r="L2" s="236"/>
      <c r="M2" s="236"/>
      <c r="N2" s="268">
        <f ca="1">CELL("ZEILE",G87)</f>
        <v>87</v>
      </c>
    </row>
    <row r="3" spans="1:21" ht="15.75" x14ac:dyDescent="0.25">
      <c r="A3" s="975"/>
      <c r="B3" s="516"/>
      <c r="C3" s="516"/>
      <c r="D3" s="516"/>
      <c r="E3" s="516"/>
      <c r="F3" s="516"/>
      <c r="G3" s="516"/>
      <c r="H3" s="516"/>
      <c r="I3" s="516"/>
      <c r="K3" s="268" t="s">
        <v>794</v>
      </c>
      <c r="L3" s="236"/>
      <c r="M3" s="236"/>
      <c r="N3" s="268">
        <f>E47</f>
        <v>0</v>
      </c>
    </row>
    <row r="4" spans="1:21" ht="16.5" thickBot="1" x14ac:dyDescent="0.3">
      <c r="A4" s="975"/>
      <c r="B4" s="516"/>
      <c r="C4" s="516" t="s">
        <v>669</v>
      </c>
      <c r="D4" s="516"/>
      <c r="E4" s="516"/>
      <c r="F4" s="516"/>
      <c r="G4" s="516" t="s">
        <v>668</v>
      </c>
      <c r="H4" s="516" t="s">
        <v>670</v>
      </c>
      <c r="I4" s="516"/>
    </row>
    <row r="5" spans="1:21" s="356" customFormat="1" ht="15" customHeight="1" thickBot="1" x14ac:dyDescent="0.25">
      <c r="A5" s="975"/>
      <c r="B5" s="366"/>
      <c r="C5" s="1037" t="str">
        <f>'6.2'!C5:F5</f>
        <v>Messgehilfe</v>
      </c>
      <c r="D5" s="1038"/>
      <c r="E5" s="1038"/>
      <c r="F5" s="1039"/>
      <c r="G5" s="664" t="str">
        <f>'6.2'!G5</f>
        <v>Geh.</v>
      </c>
      <c r="H5" s="666">
        <f>'6.2'!H5</f>
        <v>39.54</v>
      </c>
      <c r="I5" s="667"/>
    </row>
    <row r="6" spans="1:21" s="356" customFormat="1" ht="15" customHeight="1" thickBot="1" x14ac:dyDescent="0.3">
      <c r="A6" s="975"/>
      <c r="B6" s="366"/>
      <c r="C6" s="1037" t="str">
        <f>'6.2'!C6:F6</f>
        <v>Schreibkraft</v>
      </c>
      <c r="D6" s="1038"/>
      <c r="E6" s="1038"/>
      <c r="F6" s="1039"/>
      <c r="G6" s="664" t="str">
        <f>'6.2'!G6</f>
        <v>Sek.</v>
      </c>
      <c r="H6" s="666">
        <f>'6.2'!H6</f>
        <v>51.4</v>
      </c>
      <c r="I6" s="667"/>
      <c r="M6" s="425"/>
      <c r="N6" s="425"/>
      <c r="O6" s="425"/>
      <c r="P6" s="425"/>
    </row>
    <row r="7" spans="1:21" s="356" customFormat="1" ht="15" customHeight="1" thickBot="1" x14ac:dyDescent="0.3">
      <c r="A7" s="975"/>
      <c r="B7" s="366"/>
      <c r="C7" s="1037" t="str">
        <f>'6.2'!C7:F7</f>
        <v>Techniker</v>
      </c>
      <c r="D7" s="1038"/>
      <c r="E7" s="1038"/>
      <c r="F7" s="1039"/>
      <c r="G7" s="664" t="str">
        <f>'6.2'!G7</f>
        <v>Tech.</v>
      </c>
      <c r="H7" s="666">
        <f>'6.2'!H7</f>
        <v>63.26</v>
      </c>
      <c r="I7" s="667"/>
      <c r="M7" s="425"/>
      <c r="N7" s="425"/>
      <c r="O7" s="425"/>
      <c r="P7" s="425"/>
      <c r="R7" s="668"/>
      <c r="S7" s="668"/>
      <c r="T7" s="668"/>
      <c r="U7" s="668"/>
    </row>
    <row r="8" spans="1:21" s="356" customFormat="1" ht="15" customHeight="1" thickBot="1" x14ac:dyDescent="0.25">
      <c r="A8" s="975"/>
      <c r="B8" s="366"/>
      <c r="C8" s="1037" t="str">
        <f>'6.2'!C8:F8</f>
        <v>CAD-Auswertestunde</v>
      </c>
      <c r="D8" s="1038"/>
      <c r="E8" s="1038"/>
      <c r="F8" s="1039"/>
      <c r="G8" s="664" t="str">
        <f>'6.2'!G8</f>
        <v>CAD</v>
      </c>
      <c r="H8" s="666">
        <f>'6.2'!H8</f>
        <v>75.260000000000005</v>
      </c>
      <c r="I8" s="667"/>
      <c r="R8" s="668"/>
      <c r="S8" s="668"/>
      <c r="T8" s="668"/>
      <c r="U8" s="668"/>
    </row>
    <row r="9" spans="1:21" s="356" customFormat="1" ht="15" customHeight="1" thickBot="1" x14ac:dyDescent="0.25">
      <c r="A9" s="975"/>
      <c r="B9" s="534"/>
      <c r="C9" s="1037" t="str">
        <f>'6.2'!C9:F9</f>
        <v>Ingenieur</v>
      </c>
      <c r="D9" s="1038"/>
      <c r="E9" s="1038"/>
      <c r="F9" s="1039"/>
      <c r="G9" s="664" t="str">
        <f>'6.2'!G9</f>
        <v>Ing.</v>
      </c>
      <c r="H9" s="666">
        <f>'6.2'!H9</f>
        <v>79.08</v>
      </c>
      <c r="I9" s="534"/>
      <c r="R9" s="668"/>
      <c r="S9" s="668"/>
      <c r="T9" s="668"/>
      <c r="U9" s="668"/>
    </row>
    <row r="10" spans="1:21" s="356" customFormat="1" ht="15" customHeight="1" thickBot="1" x14ac:dyDescent="0.25">
      <c r="A10" s="975"/>
      <c r="B10" s="534"/>
      <c r="C10" s="1037" t="str">
        <f>'6.2'!C10:F10</f>
        <v>qualifizierter Ingenieur (Klasse V)</v>
      </c>
      <c r="D10" s="1038"/>
      <c r="E10" s="1038"/>
      <c r="F10" s="1039"/>
      <c r="G10" s="664" t="str">
        <f>'6.2'!G10</f>
        <v>Ing. V</v>
      </c>
      <c r="H10" s="666">
        <f>'6.2'!H10</f>
        <v>90.94</v>
      </c>
      <c r="I10" s="534"/>
      <c r="O10" s="668"/>
      <c r="P10" s="668"/>
      <c r="R10" s="668"/>
      <c r="S10" s="668"/>
      <c r="T10" s="668"/>
      <c r="U10" s="668"/>
    </row>
    <row r="11" spans="1:21" s="356" customFormat="1" ht="15" customHeight="1" thickBot="1" x14ac:dyDescent="0.3">
      <c r="A11" s="975"/>
      <c r="B11" s="534"/>
      <c r="C11" s="1037" t="str">
        <f>'6.2'!C11:F11</f>
        <v>qualifizierter Ingenieur (Klasse VI)</v>
      </c>
      <c r="D11" s="1038"/>
      <c r="E11" s="1038"/>
      <c r="F11" s="1039"/>
      <c r="G11" s="664" t="str">
        <f>'6.2'!G11</f>
        <v>Ing. VII</v>
      </c>
      <c r="H11" s="666">
        <f>'6.2'!H11</f>
        <v>98.85</v>
      </c>
      <c r="I11" s="534"/>
      <c r="K11" s="421"/>
      <c r="L11" s="425"/>
      <c r="O11" s="668"/>
      <c r="P11" s="668"/>
      <c r="R11" s="668"/>
      <c r="S11" s="668"/>
      <c r="T11" s="668"/>
      <c r="U11" s="668"/>
    </row>
    <row r="12" spans="1:21" s="356" customFormat="1" ht="15" customHeight="1" thickBot="1" x14ac:dyDescent="0.3">
      <c r="A12" s="975"/>
      <c r="B12" s="534"/>
      <c r="C12" s="1037" t="str">
        <f>'6.2'!C12:F12</f>
        <v>qualifizierter Ingenieur (Klasse VII)</v>
      </c>
      <c r="D12" s="1038"/>
      <c r="E12" s="1038"/>
      <c r="F12" s="1039"/>
      <c r="G12" s="664" t="str">
        <f>'6.2'!G12</f>
        <v>Ing. VIII</v>
      </c>
      <c r="H12" s="666">
        <f>'6.2'!H12</f>
        <v>118.62</v>
      </c>
      <c r="I12" s="534"/>
      <c r="K12" s="425"/>
      <c r="L12" s="425"/>
      <c r="O12" s="668"/>
      <c r="P12" s="668"/>
      <c r="R12" s="668"/>
      <c r="S12" s="668"/>
      <c r="T12" s="668"/>
      <c r="U12" s="668"/>
    </row>
    <row r="13" spans="1:21" s="356" customFormat="1" ht="15" customHeight="1" thickBot="1" x14ac:dyDescent="0.3">
      <c r="A13" s="975"/>
      <c r="B13" s="534"/>
      <c r="C13" s="1037" t="str">
        <f>'6.2'!C13:F13</f>
        <v>Ziviltechnikerleistung</v>
      </c>
      <c r="D13" s="1038"/>
      <c r="E13" s="1038"/>
      <c r="F13" s="1039"/>
      <c r="G13" s="664" t="str">
        <f>'6.2'!G13</f>
        <v>ZT</v>
      </c>
      <c r="H13" s="666">
        <f>'6.2'!H13</f>
        <v>158.16</v>
      </c>
      <c r="I13" s="534"/>
      <c r="L13" s="722"/>
      <c r="O13" s="668"/>
      <c r="P13" s="668"/>
      <c r="R13" s="668"/>
      <c r="S13" s="668"/>
      <c r="T13" s="668"/>
      <c r="U13" s="668"/>
    </row>
    <row r="14" spans="1:21" s="356" customFormat="1" ht="15" customHeight="1" thickBot="1" x14ac:dyDescent="0.3">
      <c r="A14" s="975"/>
      <c r="B14" s="534"/>
      <c r="C14" s="1037" t="str">
        <f>'6.2'!C14:F14</f>
        <v>1-Mann-Partie inkl. Gerät</v>
      </c>
      <c r="D14" s="1038"/>
      <c r="E14" s="1038"/>
      <c r="F14" s="1039"/>
      <c r="G14" s="664" t="str">
        <f>'6.2'!G14</f>
        <v>1MP</v>
      </c>
      <c r="H14" s="666">
        <f>'6.2'!H14</f>
        <v>94.89</v>
      </c>
      <c r="I14" s="534"/>
      <c r="L14" s="425"/>
      <c r="O14" s="668"/>
      <c r="P14" s="668"/>
      <c r="Q14" s="668"/>
      <c r="R14" s="668"/>
      <c r="S14" s="668"/>
      <c r="T14" s="668"/>
      <c r="U14" s="668"/>
    </row>
    <row r="15" spans="1:21" s="356" customFormat="1" ht="15" customHeight="1" thickBot="1" x14ac:dyDescent="0.25">
      <c r="A15" s="975"/>
      <c r="B15" s="534"/>
      <c r="C15" s="1037" t="str">
        <f>'6.2'!C15:F15</f>
        <v>2-Mann-Partie inkl. Gerät</v>
      </c>
      <c r="D15" s="1038"/>
      <c r="E15" s="1038"/>
      <c r="F15" s="1039"/>
      <c r="G15" s="664" t="str">
        <f>'6.2'!G15</f>
        <v>2MP</v>
      </c>
      <c r="H15" s="666">
        <f>'6.2'!H15</f>
        <v>138.38999999999999</v>
      </c>
      <c r="I15" s="534"/>
      <c r="L15" s="669"/>
      <c r="O15" s="668"/>
      <c r="P15" s="668"/>
      <c r="Q15" s="668"/>
      <c r="R15" s="668"/>
      <c r="S15" s="668"/>
      <c r="T15" s="668"/>
      <c r="U15" s="668"/>
    </row>
    <row r="16" spans="1:21" s="356" customFormat="1" ht="15" customHeight="1" thickBot="1" x14ac:dyDescent="0.3">
      <c r="A16" s="975"/>
      <c r="B16" s="534"/>
      <c r="C16" s="1037" t="str">
        <f>'6.2'!C16:F16</f>
        <v>Einsatzpauschale (20km An/Abfahrt)</v>
      </c>
      <c r="D16" s="1038"/>
      <c r="E16" s="1038"/>
      <c r="F16" s="1039"/>
      <c r="G16" s="664" t="str">
        <f>'6.2'!G16</f>
        <v>Einsatz</v>
      </c>
      <c r="H16" s="666">
        <f>'6.2'!H16</f>
        <v>148.79</v>
      </c>
      <c r="I16" s="534"/>
      <c r="K16" s="421"/>
      <c r="L16" s="669"/>
      <c r="M16" s="668"/>
      <c r="N16" s="668"/>
      <c r="O16" s="668"/>
      <c r="P16" s="668"/>
      <c r="Q16" s="668"/>
      <c r="R16" s="668"/>
      <c r="S16" s="668"/>
      <c r="T16" s="668"/>
      <c r="U16" s="668"/>
    </row>
    <row r="17" spans="1:21" s="356" customFormat="1" ht="15" customHeight="1" thickBot="1" x14ac:dyDescent="0.3">
      <c r="A17" s="975"/>
      <c r="B17" s="534"/>
      <c r="C17" s="1037" t="str">
        <f>'6.2'!C17:F17</f>
        <v>Instrument (Messgerät) oder CAD-Ausrüstung</v>
      </c>
      <c r="D17" s="1038"/>
      <c r="E17" s="1038"/>
      <c r="F17" s="1039"/>
      <c r="G17" s="664" t="str">
        <f>'6.2'!G17</f>
        <v>Instr/CAD</v>
      </c>
      <c r="H17" s="666">
        <f>'6.2'!H17</f>
        <v>11.86</v>
      </c>
      <c r="I17" s="534"/>
      <c r="L17" s="425"/>
      <c r="O17" s="668"/>
      <c r="P17" s="668"/>
      <c r="Q17" s="668"/>
      <c r="R17" s="668"/>
      <c r="S17" s="668"/>
      <c r="T17" s="668"/>
      <c r="U17" s="668"/>
    </row>
    <row r="18" spans="1:21" s="356" customFormat="1" ht="15" customHeight="1" thickBot="1" x14ac:dyDescent="0.3">
      <c r="A18" s="975"/>
      <c r="B18" s="534"/>
      <c r="C18" s="1037" t="str">
        <f>'6.2'!C18:F18</f>
        <v>Aufschlag für höherwertiges Instrument</v>
      </c>
      <c r="D18" s="1038"/>
      <c r="E18" s="1038"/>
      <c r="F18" s="1039"/>
      <c r="G18" s="664" t="str">
        <f>'6.2'!G18</f>
        <v>Instr+</v>
      </c>
      <c r="H18" s="666">
        <f>'6.2'!H18</f>
        <v>3.95</v>
      </c>
      <c r="I18" s="534"/>
      <c r="L18" s="425"/>
      <c r="M18" s="668"/>
      <c r="N18" s="668"/>
      <c r="O18" s="668"/>
      <c r="P18" s="668"/>
      <c r="Q18" s="668"/>
      <c r="R18" s="668"/>
      <c r="S18" s="668"/>
      <c r="T18" s="668"/>
      <c r="U18" s="668"/>
    </row>
    <row r="19" spans="1:21" s="356" customFormat="1" ht="15" customHeight="1" x14ac:dyDescent="0.25">
      <c r="A19" s="975"/>
      <c r="B19" s="534"/>
      <c r="C19" s="534"/>
      <c r="D19" s="534"/>
      <c r="E19" s="534"/>
      <c r="F19" s="534"/>
      <c r="G19" s="534"/>
      <c r="H19" s="534"/>
      <c r="I19" s="534"/>
      <c r="L19" s="425"/>
      <c r="M19" s="425"/>
      <c r="N19" s="668"/>
      <c r="O19" s="668"/>
      <c r="P19" s="668"/>
      <c r="Q19" s="668"/>
      <c r="R19" s="668"/>
      <c r="S19" s="668"/>
      <c r="T19" s="668"/>
      <c r="U19" s="668"/>
    </row>
    <row r="20" spans="1:21" s="356" customFormat="1" ht="15" customHeight="1" x14ac:dyDescent="0.25">
      <c r="A20" s="975"/>
      <c r="B20" s="534"/>
      <c r="C20" s="534"/>
      <c r="D20" s="534"/>
      <c r="E20" s="534"/>
      <c r="F20" s="534"/>
      <c r="G20" s="534"/>
      <c r="H20" s="534"/>
      <c r="I20" s="534"/>
      <c r="K20" s="421"/>
      <c r="L20" s="425"/>
      <c r="M20" s="425"/>
      <c r="N20" s="668"/>
      <c r="O20" s="668"/>
      <c r="P20" s="668"/>
      <c r="Q20" s="668"/>
      <c r="R20" s="668"/>
      <c r="S20" s="668"/>
      <c r="T20" s="668"/>
      <c r="U20" s="668"/>
    </row>
    <row r="21" spans="1:21" s="356" customFormat="1" ht="15" customHeight="1" thickBot="1" x14ac:dyDescent="0.3">
      <c r="A21" s="975"/>
      <c r="B21" s="534"/>
      <c r="C21" s="534" t="s">
        <v>690</v>
      </c>
      <c r="D21" s="534" t="s">
        <v>691</v>
      </c>
      <c r="E21" s="672" t="s">
        <v>689</v>
      </c>
      <c r="F21" s="672" t="s">
        <v>694</v>
      </c>
      <c r="G21" s="672" t="s">
        <v>670</v>
      </c>
      <c r="H21" s="672" t="s">
        <v>688</v>
      </c>
      <c r="I21" s="534"/>
      <c r="K21" s="668"/>
      <c r="L21" s="425"/>
      <c r="M21" s="425"/>
      <c r="N21" s="668"/>
      <c r="O21" s="668"/>
      <c r="P21" s="668"/>
    </row>
    <row r="22" spans="1:21" ht="16.5" thickBot="1" x14ac:dyDescent="0.3">
      <c r="A22" s="975"/>
      <c r="B22" s="92"/>
      <c r="C22" s="731"/>
      <c r="D22" s="685"/>
      <c r="E22" s="665"/>
      <c r="F22" s="665"/>
      <c r="G22" s="684" t="str">
        <f>IF(E22&lt;&gt;"",VLOOKUP(E22,G$5:H$18,2,FALSE),"")</f>
        <v/>
      </c>
      <c r="H22" s="684" t="str">
        <f t="shared" ref="H22:H41" si="0">IF(AND(E22&lt;&gt;"",F22&lt;&gt;"",F22&gt;0),F22*G22,"")</f>
        <v/>
      </c>
      <c r="I22" s="93"/>
      <c r="K22" s="513"/>
      <c r="L22" s="513"/>
      <c r="N22" s="513"/>
      <c r="O22" s="513"/>
      <c r="P22" s="513"/>
    </row>
    <row r="23" spans="1:21" ht="16.5" thickBot="1" x14ac:dyDescent="0.3">
      <c r="A23" s="975"/>
      <c r="B23" s="516"/>
      <c r="C23" s="731"/>
      <c r="D23" s="685"/>
      <c r="E23" s="665"/>
      <c r="F23" s="665"/>
      <c r="G23" s="684" t="str">
        <f t="shared" ref="G23:G41" si="1">IF(E23&lt;&gt;"",VLOOKUP(E23,G$5:H$18,2,FALSE),"")</f>
        <v/>
      </c>
      <c r="H23" s="684" t="str">
        <f t="shared" si="0"/>
        <v/>
      </c>
      <c r="I23" s="516"/>
      <c r="K23" s="513"/>
      <c r="L23" s="513"/>
      <c r="N23" s="513"/>
      <c r="O23" s="513"/>
      <c r="P23" s="513"/>
    </row>
    <row r="24" spans="1:21" ht="16.5" thickBot="1" x14ac:dyDescent="0.3">
      <c r="A24" s="975"/>
      <c r="B24" s="516"/>
      <c r="C24" s="731"/>
      <c r="D24" s="685"/>
      <c r="E24" s="665"/>
      <c r="F24" s="665"/>
      <c r="G24" s="684" t="str">
        <f t="shared" si="1"/>
        <v/>
      </c>
      <c r="H24" s="684" t="str">
        <f t="shared" si="0"/>
        <v/>
      </c>
      <c r="I24" s="516"/>
      <c r="K24" s="513"/>
      <c r="L24" s="513"/>
      <c r="M24" s="518"/>
      <c r="N24" s="513"/>
      <c r="O24" s="513"/>
      <c r="P24" s="513"/>
    </row>
    <row r="25" spans="1:21" ht="16.5" thickBot="1" x14ac:dyDescent="0.3">
      <c r="A25" s="975"/>
      <c r="B25" s="516"/>
      <c r="C25" s="731"/>
      <c r="D25" s="685"/>
      <c r="E25" s="665"/>
      <c r="F25" s="665"/>
      <c r="G25" s="684" t="str">
        <f t="shared" si="1"/>
        <v/>
      </c>
      <c r="H25" s="684" t="str">
        <f t="shared" si="0"/>
        <v/>
      </c>
      <c r="I25" s="516"/>
      <c r="K25" s="513"/>
      <c r="L25" s="723"/>
      <c r="M25" s="518"/>
      <c r="N25" s="513"/>
      <c r="O25" s="513"/>
      <c r="P25" s="513"/>
    </row>
    <row r="26" spans="1:21" ht="16.5" thickBot="1" x14ac:dyDescent="0.3">
      <c r="A26" s="975"/>
      <c r="B26" s="516"/>
      <c r="C26" s="731"/>
      <c r="D26" s="685"/>
      <c r="E26" s="665"/>
      <c r="F26" s="665"/>
      <c r="G26" s="684" t="str">
        <f t="shared" si="1"/>
        <v/>
      </c>
      <c r="H26" s="684" t="str">
        <f t="shared" si="0"/>
        <v/>
      </c>
      <c r="I26" s="516"/>
      <c r="K26" s="513"/>
      <c r="L26" s="513"/>
      <c r="M26" s="518"/>
      <c r="N26" s="513"/>
      <c r="O26" s="513"/>
      <c r="P26" s="513"/>
    </row>
    <row r="27" spans="1:21" ht="16.5" thickBot="1" x14ac:dyDescent="0.3">
      <c r="A27" s="975"/>
      <c r="B27" s="516"/>
      <c r="C27" s="731"/>
      <c r="D27" s="685"/>
      <c r="E27" s="665"/>
      <c r="F27" s="665"/>
      <c r="G27" s="684" t="str">
        <f t="shared" si="1"/>
        <v/>
      </c>
      <c r="H27" s="684" t="str">
        <f t="shared" si="0"/>
        <v/>
      </c>
      <c r="I27" s="516"/>
      <c r="K27" s="513"/>
      <c r="L27" s="513"/>
      <c r="M27" s="518"/>
      <c r="N27" s="513"/>
      <c r="O27" s="513"/>
      <c r="P27" s="513"/>
    </row>
    <row r="28" spans="1:21" ht="16.5" thickBot="1" x14ac:dyDescent="0.3">
      <c r="A28" s="975"/>
      <c r="B28" s="516"/>
      <c r="C28" s="731"/>
      <c r="D28" s="685"/>
      <c r="E28" s="665"/>
      <c r="F28" s="665"/>
      <c r="G28" s="684" t="str">
        <f t="shared" si="1"/>
        <v/>
      </c>
      <c r="H28" s="684" t="str">
        <f t="shared" si="0"/>
        <v/>
      </c>
      <c r="I28" s="516"/>
      <c r="K28" s="513"/>
      <c r="L28" s="513"/>
      <c r="M28" s="518"/>
      <c r="N28" s="513"/>
      <c r="O28" s="513"/>
      <c r="P28" s="513"/>
    </row>
    <row r="29" spans="1:21" ht="16.5" thickBot="1" x14ac:dyDescent="0.3">
      <c r="A29" s="975"/>
      <c r="B29" s="516"/>
      <c r="C29" s="731"/>
      <c r="D29" s="685"/>
      <c r="E29" s="665"/>
      <c r="F29" s="665"/>
      <c r="G29" s="684" t="str">
        <f t="shared" si="1"/>
        <v/>
      </c>
      <c r="H29" s="684" t="str">
        <f t="shared" si="0"/>
        <v/>
      </c>
      <c r="I29" s="516"/>
      <c r="K29" s="513"/>
      <c r="L29" s="513"/>
      <c r="M29" s="518"/>
      <c r="N29" s="513"/>
      <c r="O29" s="513"/>
      <c r="P29" s="513"/>
    </row>
    <row r="30" spans="1:21" ht="16.5" thickBot="1" x14ac:dyDescent="0.3">
      <c r="A30" s="975"/>
      <c r="B30" s="516"/>
      <c r="C30" s="731"/>
      <c r="D30" s="685"/>
      <c r="E30" s="665"/>
      <c r="F30" s="665"/>
      <c r="G30" s="684" t="str">
        <f t="shared" si="1"/>
        <v/>
      </c>
      <c r="H30" s="684" t="str">
        <f t="shared" si="0"/>
        <v/>
      </c>
      <c r="I30" s="516"/>
      <c r="K30" s="513"/>
      <c r="L30" s="513"/>
      <c r="M30" s="518"/>
      <c r="N30" s="513"/>
      <c r="O30" s="513"/>
      <c r="P30" s="513"/>
    </row>
    <row r="31" spans="1:21" ht="16.5" thickBot="1" x14ac:dyDescent="0.3">
      <c r="A31" s="975"/>
      <c r="B31" s="516"/>
      <c r="C31" s="731"/>
      <c r="D31" s="685"/>
      <c r="E31" s="665"/>
      <c r="F31" s="665"/>
      <c r="G31" s="684" t="str">
        <f t="shared" si="1"/>
        <v/>
      </c>
      <c r="H31" s="684" t="str">
        <f t="shared" si="0"/>
        <v/>
      </c>
      <c r="I31" s="516"/>
      <c r="K31" s="513"/>
      <c r="L31" s="513"/>
      <c r="M31" s="518"/>
      <c r="N31" s="513"/>
      <c r="O31" s="513"/>
      <c r="P31" s="513"/>
    </row>
    <row r="32" spans="1:21" ht="16.5" thickBot="1" x14ac:dyDescent="0.3">
      <c r="A32" s="975"/>
      <c r="B32" s="516"/>
      <c r="C32" s="731"/>
      <c r="D32" s="685"/>
      <c r="E32" s="665"/>
      <c r="F32" s="665"/>
      <c r="G32" s="684" t="str">
        <f t="shared" si="1"/>
        <v/>
      </c>
      <c r="H32" s="684" t="str">
        <f t="shared" si="0"/>
        <v/>
      </c>
      <c r="I32" s="516"/>
      <c r="K32" s="513"/>
      <c r="L32" s="513"/>
      <c r="M32" s="518"/>
      <c r="N32" s="513"/>
      <c r="O32" s="513"/>
      <c r="P32" s="513"/>
    </row>
    <row r="33" spans="1:16" ht="16.5" thickBot="1" x14ac:dyDescent="0.3">
      <c r="A33" s="975"/>
      <c r="B33" s="516"/>
      <c r="C33" s="731"/>
      <c r="D33" s="685"/>
      <c r="E33" s="665"/>
      <c r="F33" s="665"/>
      <c r="G33" s="684" t="str">
        <f t="shared" si="1"/>
        <v/>
      </c>
      <c r="H33" s="684" t="str">
        <f t="shared" si="0"/>
        <v/>
      </c>
      <c r="I33" s="516"/>
      <c r="K33" s="513"/>
      <c r="L33" s="513"/>
      <c r="M33" s="518"/>
      <c r="N33" s="513"/>
      <c r="O33" s="513"/>
      <c r="P33" s="513"/>
    </row>
    <row r="34" spans="1:16" ht="16.5" thickBot="1" x14ac:dyDescent="0.3">
      <c r="A34" s="975"/>
      <c r="B34" s="516"/>
      <c r="C34" s="731"/>
      <c r="D34" s="685"/>
      <c r="E34" s="665"/>
      <c r="F34" s="665"/>
      <c r="G34" s="684" t="str">
        <f t="shared" si="1"/>
        <v/>
      </c>
      <c r="H34" s="684" t="str">
        <f t="shared" si="0"/>
        <v/>
      </c>
      <c r="I34" s="516"/>
      <c r="K34" s="513"/>
      <c r="L34" s="513"/>
      <c r="M34" s="518"/>
      <c r="N34" s="513"/>
      <c r="O34" s="513"/>
      <c r="P34" s="513"/>
    </row>
    <row r="35" spans="1:16" ht="16.5" thickBot="1" x14ac:dyDescent="0.3">
      <c r="A35" s="975"/>
      <c r="B35" s="516"/>
      <c r="C35" s="731"/>
      <c r="D35" s="685"/>
      <c r="E35" s="665"/>
      <c r="F35" s="665"/>
      <c r="G35" s="684" t="str">
        <f t="shared" si="1"/>
        <v/>
      </c>
      <c r="H35" s="684" t="str">
        <f t="shared" si="0"/>
        <v/>
      </c>
      <c r="I35" s="516"/>
      <c r="K35" s="513"/>
      <c r="L35" s="513"/>
      <c r="M35" s="518"/>
      <c r="N35" s="513"/>
      <c r="O35" s="513"/>
      <c r="P35" s="513"/>
    </row>
    <row r="36" spans="1:16" ht="16.5" thickBot="1" x14ac:dyDescent="0.3">
      <c r="A36" s="975"/>
      <c r="B36" s="516"/>
      <c r="C36" s="731"/>
      <c r="D36" s="685"/>
      <c r="E36" s="665"/>
      <c r="F36" s="665"/>
      <c r="G36" s="684" t="str">
        <f t="shared" si="1"/>
        <v/>
      </c>
      <c r="H36" s="684" t="str">
        <f t="shared" si="0"/>
        <v/>
      </c>
      <c r="I36" s="516"/>
      <c r="K36" s="513"/>
      <c r="L36" s="513"/>
      <c r="M36" s="518"/>
      <c r="N36" s="513"/>
      <c r="O36" s="513"/>
      <c r="P36" s="513"/>
    </row>
    <row r="37" spans="1:16" ht="16.5" thickBot="1" x14ac:dyDescent="0.3">
      <c r="A37" s="975"/>
      <c r="B37" s="516"/>
      <c r="C37" s="731"/>
      <c r="D37" s="685"/>
      <c r="E37" s="665"/>
      <c r="F37" s="665"/>
      <c r="G37" s="684" t="str">
        <f t="shared" si="1"/>
        <v/>
      </c>
      <c r="H37" s="684" t="str">
        <f t="shared" si="0"/>
        <v/>
      </c>
      <c r="I37" s="516"/>
      <c r="K37" s="513"/>
      <c r="L37" s="513"/>
      <c r="M37" s="518"/>
      <c r="N37" s="513"/>
      <c r="O37" s="513"/>
      <c r="P37" s="513"/>
    </row>
    <row r="38" spans="1:16" ht="16.5" thickBot="1" x14ac:dyDescent="0.3">
      <c r="A38" s="975"/>
      <c r="B38" s="516"/>
      <c r="C38" s="731"/>
      <c r="D38" s="685"/>
      <c r="E38" s="665"/>
      <c r="F38" s="665"/>
      <c r="G38" s="684" t="str">
        <f t="shared" si="1"/>
        <v/>
      </c>
      <c r="H38" s="684" t="str">
        <f t="shared" si="0"/>
        <v/>
      </c>
      <c r="I38" s="516"/>
      <c r="K38" s="513"/>
      <c r="L38" s="513"/>
      <c r="M38" s="518"/>
      <c r="N38" s="513"/>
      <c r="O38" s="513"/>
      <c r="P38" s="513"/>
    </row>
    <row r="39" spans="1:16" ht="16.5" thickBot="1" x14ac:dyDescent="0.3">
      <c r="A39" s="975"/>
      <c r="B39" s="516"/>
      <c r="C39" s="731"/>
      <c r="D39" s="685"/>
      <c r="E39" s="665"/>
      <c r="F39" s="665"/>
      <c r="G39" s="684" t="str">
        <f t="shared" si="1"/>
        <v/>
      </c>
      <c r="H39" s="684" t="str">
        <f t="shared" si="0"/>
        <v/>
      </c>
      <c r="I39" s="516"/>
      <c r="K39" s="513"/>
      <c r="L39" s="513"/>
      <c r="M39" s="518"/>
      <c r="N39" s="513"/>
      <c r="O39" s="513"/>
      <c r="P39" s="513"/>
    </row>
    <row r="40" spans="1:16" ht="16.5" thickBot="1" x14ac:dyDescent="0.3">
      <c r="A40" s="975"/>
      <c r="B40" s="516"/>
      <c r="C40" s="731"/>
      <c r="D40" s="685"/>
      <c r="E40" s="665"/>
      <c r="F40" s="665"/>
      <c r="G40" s="684" t="str">
        <f t="shared" si="1"/>
        <v/>
      </c>
      <c r="H40" s="684" t="str">
        <f t="shared" si="0"/>
        <v/>
      </c>
      <c r="I40" s="516"/>
      <c r="K40" s="513"/>
      <c r="L40" s="513"/>
      <c r="M40" s="518"/>
      <c r="N40" s="513"/>
      <c r="O40" s="513"/>
      <c r="P40" s="513"/>
    </row>
    <row r="41" spans="1:16" ht="16.5" thickBot="1" x14ac:dyDescent="0.3">
      <c r="A41" s="975"/>
      <c r="B41" s="516"/>
      <c r="C41" s="731"/>
      <c r="D41" s="685"/>
      <c r="E41" s="665"/>
      <c r="F41" s="665"/>
      <c r="G41" s="684" t="str">
        <f t="shared" si="1"/>
        <v/>
      </c>
      <c r="H41" s="684" t="str">
        <f t="shared" si="0"/>
        <v/>
      </c>
      <c r="I41" s="516"/>
      <c r="K41" s="513"/>
      <c r="L41" s="513"/>
      <c r="M41" s="518"/>
      <c r="N41" s="513"/>
      <c r="O41" s="513"/>
      <c r="P41" s="513"/>
    </row>
    <row r="42" spans="1:16" ht="16.5" thickBot="1" x14ac:dyDescent="0.3">
      <c r="A42" s="975"/>
      <c r="B42" s="516"/>
      <c r="C42" s="516"/>
      <c r="D42" s="516"/>
      <c r="E42" s="516"/>
      <c r="F42" s="516"/>
      <c r="G42" s="516"/>
      <c r="H42" s="686" t="str">
        <f>IF(VSK&lt;&gt;0, SUM(H22:H41),"")</f>
        <v/>
      </c>
      <c r="I42" s="516"/>
      <c r="K42" s="513"/>
      <c r="L42" s="513"/>
      <c r="M42" s="518"/>
      <c r="N42" s="513"/>
      <c r="O42" s="513"/>
      <c r="P42" s="513"/>
    </row>
    <row r="43" spans="1:16" ht="15.75" x14ac:dyDescent="0.25">
      <c r="A43" s="975"/>
      <c r="B43" s="475"/>
      <c r="C43" s="486"/>
      <c r="D43" s="487"/>
      <c r="E43" s="486"/>
      <c r="F43" s="488"/>
      <c r="G43" s="486"/>
      <c r="H43" s="488"/>
      <c r="I43" s="476"/>
      <c r="K43" s="513"/>
      <c r="L43" s="513"/>
      <c r="M43" s="518"/>
      <c r="N43" s="513"/>
      <c r="O43" s="513"/>
      <c r="P43" s="513"/>
    </row>
    <row r="44" spans="1:16" ht="15.75" x14ac:dyDescent="0.25">
      <c r="A44" s="975"/>
      <c r="B44" s="475"/>
      <c r="C44" s="476" t="s">
        <v>34</v>
      </c>
      <c r="D44" s="476"/>
      <c r="E44" s="489"/>
      <c r="F44" s="1030"/>
      <c r="G44" s="1031"/>
      <c r="H44" s="1032"/>
      <c r="I44" s="476"/>
      <c r="K44" s="513"/>
      <c r="L44" s="513"/>
      <c r="M44" s="513"/>
      <c r="N44" s="513"/>
      <c r="O44" s="513"/>
      <c r="P44" s="513"/>
    </row>
    <row r="45" spans="1:16" ht="15.75" x14ac:dyDescent="0.25">
      <c r="A45" s="975"/>
      <c r="B45" s="475"/>
      <c r="C45" s="476" t="s">
        <v>826</v>
      </c>
      <c r="D45" s="476"/>
      <c r="E45" s="732"/>
      <c r="F45" s="1000"/>
      <c r="G45" s="1043"/>
      <c r="H45" s="1001"/>
      <c r="I45" s="476"/>
    </row>
    <row r="46" spans="1:16" ht="15.75" x14ac:dyDescent="0.25">
      <c r="A46" s="975"/>
      <c r="B46" s="475"/>
      <c r="C46" s="476"/>
      <c r="D46" s="476"/>
      <c r="E46" s="491"/>
      <c r="F46" s="476"/>
      <c r="G46" s="475"/>
      <c r="H46" s="475"/>
      <c r="I46" s="474"/>
    </row>
    <row r="47" spans="1:16" ht="21" x14ac:dyDescent="0.35">
      <c r="A47" s="975"/>
      <c r="B47" s="474"/>
      <c r="C47" s="492" t="str">
        <f>IF(VSK=0, "UNVOLLSTÄNDIG AUSGEFÜLLT!","")</f>
        <v>UNVOLLSTÄNDIG AUSGEFÜLLT!</v>
      </c>
      <c r="D47" s="474"/>
      <c r="E47" s="673">
        <f>IF(SUM(H22:H41)&gt;0,1,0)</f>
        <v>0</v>
      </c>
      <c r="F47" s="474"/>
      <c r="G47" s="999" t="str">
        <f>IF(VSK&lt;&gt;0, G87,"")</f>
        <v/>
      </c>
      <c r="H47" s="999"/>
      <c r="I47" s="474"/>
      <c r="P47" s="513"/>
    </row>
    <row r="48" spans="1:16" ht="15.75" x14ac:dyDescent="0.25">
      <c r="A48" s="975"/>
      <c r="B48" s="474"/>
      <c r="C48" s="474"/>
      <c r="D48" s="474"/>
      <c r="E48" s="474"/>
      <c r="F48" s="474"/>
      <c r="G48" s="474"/>
      <c r="H48" s="474"/>
      <c r="I48" s="474"/>
    </row>
    <row r="49" spans="1:15" ht="15" customHeight="1" x14ac:dyDescent="0.25">
      <c r="A49" s="973" t="s">
        <v>72</v>
      </c>
    </row>
    <row r="50" spans="1:15" x14ac:dyDescent="0.25">
      <c r="A50" s="973"/>
      <c r="B50" s="974" t="str">
        <f>CONCATENATE(Gesamt!C2, ": ", Gesamt!E2)</f>
        <v xml:space="preserve">Projekt: </v>
      </c>
      <c r="C50" s="974"/>
      <c r="D50" s="974"/>
      <c r="E50" s="974"/>
      <c r="F50" s="974"/>
      <c r="G50" s="974"/>
      <c r="H50" s="974"/>
      <c r="I50" s="974"/>
    </row>
    <row r="51" spans="1:15" x14ac:dyDescent="0.25">
      <c r="A51" s="973"/>
      <c r="B51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51" s="969"/>
      <c r="D51" s="969"/>
      <c r="E51" s="969"/>
      <c r="F51" s="969"/>
      <c r="G51" s="969"/>
      <c r="H51" s="969"/>
      <c r="I51" s="969"/>
    </row>
    <row r="52" spans="1:15" x14ac:dyDescent="0.25">
      <c r="A52" s="973"/>
      <c r="B52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52" s="969"/>
      <c r="D52" s="969"/>
      <c r="E52" s="969"/>
      <c r="F52" s="969"/>
      <c r="G52" s="969"/>
      <c r="H52" s="969"/>
      <c r="I52" s="969"/>
    </row>
    <row r="53" spans="1:15" x14ac:dyDescent="0.25">
      <c r="A53" s="973"/>
      <c r="B53" s="969" t="s">
        <v>42</v>
      </c>
      <c r="C53" s="969"/>
      <c r="D53" s="969"/>
      <c r="E53" s="969"/>
      <c r="F53" s="969"/>
      <c r="G53" s="969"/>
      <c r="H53" s="969"/>
      <c r="I53" s="969"/>
    </row>
    <row r="54" spans="1:15" x14ac:dyDescent="0.25">
      <c r="A54" s="973"/>
    </row>
    <row r="55" spans="1:15" ht="18.75" x14ac:dyDescent="0.25">
      <c r="A55" s="973"/>
      <c r="B55" s="968" t="str">
        <f>C2</f>
        <v>PUNKTBESTIMMUNG DURCH KINEMATISCHE GNSS-MESSUNG</v>
      </c>
      <c r="C55" s="968"/>
      <c r="D55" s="968"/>
      <c r="E55" s="968"/>
      <c r="F55" s="968"/>
      <c r="G55" s="968"/>
      <c r="H55" s="968"/>
      <c r="I55" s="968"/>
    </row>
    <row r="56" spans="1:15" x14ac:dyDescent="0.25">
      <c r="A56" s="973"/>
    </row>
    <row r="57" spans="1:15" x14ac:dyDescent="0.25">
      <c r="A57" s="973"/>
      <c r="C57" s="425" t="str">
        <f>CONCATENATE("LB_VG, Pos. 4.5, ",C2)</f>
        <v>LB_VG, Pos. 4.5, PUNKTBESTIMMUNG DURCH KINEMATISCHE GNSS-MESSUNG</v>
      </c>
    </row>
    <row r="58" spans="1:15" x14ac:dyDescent="0.25">
      <c r="A58" s="973"/>
    </row>
    <row r="59" spans="1:15" x14ac:dyDescent="0.25">
      <c r="A59" s="973"/>
      <c r="C59" s="425" t="s">
        <v>46</v>
      </c>
      <c r="E59" s="367">
        <f>Gesamt!E14</f>
        <v>79.08</v>
      </c>
    </row>
    <row r="60" spans="1:15" x14ac:dyDescent="0.25">
      <c r="A60" s="973"/>
      <c r="C60" s="444"/>
    </row>
    <row r="61" spans="1:15" x14ac:dyDescent="0.25">
      <c r="A61" s="973"/>
      <c r="C61" s="678" t="s">
        <v>690</v>
      </c>
      <c r="D61" s="678" t="s">
        <v>691</v>
      </c>
      <c r="E61" s="679" t="s">
        <v>689</v>
      </c>
      <c r="F61" s="679" t="s">
        <v>694</v>
      </c>
      <c r="G61" s="679" t="s">
        <v>670</v>
      </c>
      <c r="H61" s="679" t="s">
        <v>688</v>
      </c>
    </row>
    <row r="62" spans="1:15" x14ac:dyDescent="0.25">
      <c r="A62" s="973"/>
      <c r="C62" s="682" t="str">
        <f>IF(C22&lt;&gt;"",C22,"")</f>
        <v/>
      </c>
      <c r="D62" s="676" t="str">
        <f t="shared" ref="D62:H62" si="2">IF(D22&lt;&gt;"",D22,"")</f>
        <v/>
      </c>
      <c r="E62" s="675" t="str">
        <f t="shared" si="2"/>
        <v/>
      </c>
      <c r="F62" s="675" t="str">
        <f t="shared" si="2"/>
        <v/>
      </c>
      <c r="G62" s="680" t="str">
        <f t="shared" si="2"/>
        <v/>
      </c>
      <c r="H62" s="677" t="str">
        <f t="shared" si="2"/>
        <v/>
      </c>
      <c r="K62" s="960" t="s">
        <v>700</v>
      </c>
      <c r="L62" s="1017"/>
      <c r="M62" s="1017"/>
      <c r="N62" s="1017"/>
      <c r="O62" s="1018"/>
    </row>
    <row r="63" spans="1:15" x14ac:dyDescent="0.25">
      <c r="A63" s="973"/>
      <c r="C63" s="682" t="str">
        <f t="shared" ref="C63:H78" si="3">IF(C23&lt;&gt;"",C23,"")</f>
        <v/>
      </c>
      <c r="D63" s="676" t="str">
        <f t="shared" si="3"/>
        <v/>
      </c>
      <c r="E63" s="675" t="str">
        <f t="shared" si="3"/>
        <v/>
      </c>
      <c r="F63" s="675" t="str">
        <f t="shared" si="3"/>
        <v/>
      </c>
      <c r="G63" s="680" t="str">
        <f t="shared" si="3"/>
        <v/>
      </c>
      <c r="H63" s="677" t="str">
        <f t="shared" si="3"/>
        <v/>
      </c>
      <c r="K63" s="1019"/>
      <c r="L63" s="1020"/>
      <c r="M63" s="1020"/>
      <c r="N63" s="1020"/>
      <c r="O63" s="1021"/>
    </row>
    <row r="64" spans="1:15" x14ac:dyDescent="0.25">
      <c r="A64" s="973"/>
      <c r="B64" s="437"/>
      <c r="C64" s="682" t="str">
        <f t="shared" si="3"/>
        <v/>
      </c>
      <c r="D64" s="676" t="str">
        <f t="shared" si="3"/>
        <v/>
      </c>
      <c r="E64" s="675" t="str">
        <f t="shared" si="3"/>
        <v/>
      </c>
      <c r="F64" s="675" t="str">
        <f t="shared" si="3"/>
        <v/>
      </c>
      <c r="G64" s="680" t="str">
        <f t="shared" si="3"/>
        <v/>
      </c>
      <c r="H64" s="677" t="str">
        <f t="shared" si="3"/>
        <v/>
      </c>
      <c r="K64" s="1019"/>
      <c r="L64" s="1020"/>
      <c r="M64" s="1020"/>
      <c r="N64" s="1020"/>
      <c r="O64" s="1021"/>
    </row>
    <row r="65" spans="1:15" x14ac:dyDescent="0.25">
      <c r="A65" s="973"/>
      <c r="B65" s="437"/>
      <c r="C65" s="682" t="str">
        <f t="shared" si="3"/>
        <v/>
      </c>
      <c r="D65" s="676" t="str">
        <f t="shared" si="3"/>
        <v/>
      </c>
      <c r="E65" s="675" t="str">
        <f t="shared" si="3"/>
        <v/>
      </c>
      <c r="F65" s="675" t="str">
        <f t="shared" si="3"/>
        <v/>
      </c>
      <c r="G65" s="680" t="str">
        <f t="shared" si="3"/>
        <v/>
      </c>
      <c r="H65" s="677" t="str">
        <f t="shared" si="3"/>
        <v/>
      </c>
      <c r="K65" s="1019"/>
      <c r="L65" s="1020"/>
      <c r="M65" s="1020"/>
      <c r="N65" s="1020"/>
      <c r="O65" s="1021"/>
    </row>
    <row r="66" spans="1:15" x14ac:dyDescent="0.25">
      <c r="A66" s="973"/>
      <c r="C66" s="682" t="str">
        <f t="shared" si="3"/>
        <v/>
      </c>
      <c r="D66" s="676" t="str">
        <f t="shared" si="3"/>
        <v/>
      </c>
      <c r="E66" s="675" t="str">
        <f t="shared" si="3"/>
        <v/>
      </c>
      <c r="F66" s="675" t="str">
        <f t="shared" si="3"/>
        <v/>
      </c>
      <c r="G66" s="680" t="str">
        <f t="shared" si="3"/>
        <v/>
      </c>
      <c r="H66" s="677" t="str">
        <f t="shared" si="3"/>
        <v/>
      </c>
      <c r="K66" s="1022"/>
      <c r="L66" s="1023"/>
      <c r="M66" s="1023"/>
      <c r="N66" s="1023"/>
      <c r="O66" s="1024"/>
    </row>
    <row r="67" spans="1:15" x14ac:dyDescent="0.25">
      <c r="A67" s="973"/>
      <c r="C67" s="682" t="str">
        <f t="shared" si="3"/>
        <v/>
      </c>
      <c r="D67" s="676" t="str">
        <f t="shared" si="3"/>
        <v/>
      </c>
      <c r="E67" s="675" t="str">
        <f t="shared" si="3"/>
        <v/>
      </c>
      <c r="F67" s="675" t="str">
        <f t="shared" si="3"/>
        <v/>
      </c>
      <c r="G67" s="680" t="str">
        <f t="shared" si="3"/>
        <v/>
      </c>
      <c r="H67" s="677" t="str">
        <f t="shared" si="3"/>
        <v/>
      </c>
    </row>
    <row r="68" spans="1:15" x14ac:dyDescent="0.25">
      <c r="A68" s="973"/>
      <c r="C68" s="682" t="str">
        <f t="shared" si="3"/>
        <v/>
      </c>
      <c r="D68" s="676" t="str">
        <f t="shared" si="3"/>
        <v/>
      </c>
      <c r="E68" s="675" t="str">
        <f t="shared" si="3"/>
        <v/>
      </c>
      <c r="F68" s="675" t="str">
        <f t="shared" si="3"/>
        <v/>
      </c>
      <c r="G68" s="680" t="str">
        <f t="shared" si="3"/>
        <v/>
      </c>
      <c r="H68" s="677" t="str">
        <f t="shared" si="3"/>
        <v/>
      </c>
    </row>
    <row r="69" spans="1:15" x14ac:dyDescent="0.25">
      <c r="A69" s="973"/>
      <c r="C69" s="682" t="str">
        <f t="shared" si="3"/>
        <v/>
      </c>
      <c r="D69" s="676" t="str">
        <f t="shared" si="3"/>
        <v/>
      </c>
      <c r="E69" s="675" t="str">
        <f t="shared" si="3"/>
        <v/>
      </c>
      <c r="F69" s="675" t="str">
        <f t="shared" si="3"/>
        <v/>
      </c>
      <c r="G69" s="680" t="str">
        <f t="shared" si="3"/>
        <v/>
      </c>
      <c r="H69" s="677" t="str">
        <f t="shared" si="3"/>
        <v/>
      </c>
    </row>
    <row r="70" spans="1:15" x14ac:dyDescent="0.25">
      <c r="A70" s="973"/>
      <c r="C70" s="682" t="str">
        <f t="shared" si="3"/>
        <v/>
      </c>
      <c r="D70" s="676" t="str">
        <f t="shared" si="3"/>
        <v/>
      </c>
      <c r="E70" s="675" t="str">
        <f t="shared" si="3"/>
        <v/>
      </c>
      <c r="F70" s="675" t="str">
        <f t="shared" si="3"/>
        <v/>
      </c>
      <c r="G70" s="680" t="str">
        <f t="shared" si="3"/>
        <v/>
      </c>
      <c r="H70" s="677" t="str">
        <f t="shared" si="3"/>
        <v/>
      </c>
    </row>
    <row r="71" spans="1:15" x14ac:dyDescent="0.25">
      <c r="A71" s="973"/>
      <c r="C71" s="682" t="str">
        <f t="shared" si="3"/>
        <v/>
      </c>
      <c r="D71" s="676" t="str">
        <f t="shared" si="3"/>
        <v/>
      </c>
      <c r="E71" s="675" t="str">
        <f t="shared" si="3"/>
        <v/>
      </c>
      <c r="F71" s="675" t="str">
        <f t="shared" si="3"/>
        <v/>
      </c>
      <c r="G71" s="680" t="str">
        <f t="shared" si="3"/>
        <v/>
      </c>
      <c r="H71" s="677" t="str">
        <f t="shared" si="3"/>
        <v/>
      </c>
    </row>
    <row r="72" spans="1:15" x14ac:dyDescent="0.25">
      <c r="A72" s="973"/>
      <c r="C72" s="682" t="str">
        <f t="shared" si="3"/>
        <v/>
      </c>
      <c r="D72" s="676" t="str">
        <f t="shared" si="3"/>
        <v/>
      </c>
      <c r="E72" s="675" t="str">
        <f t="shared" si="3"/>
        <v/>
      </c>
      <c r="F72" s="675" t="str">
        <f t="shared" si="3"/>
        <v/>
      </c>
      <c r="G72" s="680" t="str">
        <f t="shared" si="3"/>
        <v/>
      </c>
      <c r="H72" s="677" t="str">
        <f t="shared" si="3"/>
        <v/>
      </c>
    </row>
    <row r="73" spans="1:15" x14ac:dyDescent="0.25">
      <c r="A73" s="973"/>
      <c r="C73" s="682" t="str">
        <f t="shared" si="3"/>
        <v/>
      </c>
      <c r="D73" s="676" t="str">
        <f t="shared" si="3"/>
        <v/>
      </c>
      <c r="E73" s="675" t="str">
        <f t="shared" si="3"/>
        <v/>
      </c>
      <c r="F73" s="675" t="str">
        <f t="shared" si="3"/>
        <v/>
      </c>
      <c r="G73" s="680" t="str">
        <f t="shared" si="3"/>
        <v/>
      </c>
      <c r="H73" s="677" t="str">
        <f t="shared" si="3"/>
        <v/>
      </c>
    </row>
    <row r="74" spans="1:15" x14ac:dyDescent="0.25">
      <c r="A74" s="973"/>
      <c r="C74" s="682" t="str">
        <f t="shared" si="3"/>
        <v/>
      </c>
      <c r="D74" s="676" t="str">
        <f t="shared" si="3"/>
        <v/>
      </c>
      <c r="E74" s="675" t="str">
        <f t="shared" si="3"/>
        <v/>
      </c>
      <c r="F74" s="675" t="str">
        <f t="shared" si="3"/>
        <v/>
      </c>
      <c r="G74" s="680" t="str">
        <f t="shared" si="3"/>
        <v/>
      </c>
      <c r="H74" s="677" t="str">
        <f t="shared" si="3"/>
        <v/>
      </c>
    </row>
    <row r="75" spans="1:15" x14ac:dyDescent="0.25">
      <c r="A75" s="973"/>
      <c r="C75" s="682" t="str">
        <f t="shared" si="3"/>
        <v/>
      </c>
      <c r="D75" s="676" t="str">
        <f t="shared" si="3"/>
        <v/>
      </c>
      <c r="E75" s="675" t="str">
        <f t="shared" si="3"/>
        <v/>
      </c>
      <c r="F75" s="675" t="str">
        <f t="shared" si="3"/>
        <v/>
      </c>
      <c r="G75" s="680" t="str">
        <f t="shared" si="3"/>
        <v/>
      </c>
      <c r="H75" s="677" t="str">
        <f t="shared" si="3"/>
        <v/>
      </c>
    </row>
    <row r="76" spans="1:15" x14ac:dyDescent="0.25">
      <c r="A76" s="973"/>
      <c r="B76" s="428"/>
      <c r="C76" s="682" t="str">
        <f t="shared" si="3"/>
        <v/>
      </c>
      <c r="D76" s="676" t="str">
        <f t="shared" si="3"/>
        <v/>
      </c>
      <c r="E76" s="675" t="str">
        <f t="shared" si="3"/>
        <v/>
      </c>
      <c r="F76" s="675" t="str">
        <f t="shared" si="3"/>
        <v/>
      </c>
      <c r="G76" s="680" t="str">
        <f t="shared" si="3"/>
        <v/>
      </c>
      <c r="H76" s="677" t="str">
        <f t="shared" si="3"/>
        <v/>
      </c>
    </row>
    <row r="77" spans="1:15" x14ac:dyDescent="0.25">
      <c r="A77" s="973"/>
      <c r="C77" s="682" t="str">
        <f t="shared" si="3"/>
        <v/>
      </c>
      <c r="D77" s="676" t="str">
        <f t="shared" si="3"/>
        <v/>
      </c>
      <c r="E77" s="675" t="str">
        <f t="shared" si="3"/>
        <v/>
      </c>
      <c r="F77" s="675" t="str">
        <f t="shared" si="3"/>
        <v/>
      </c>
      <c r="G77" s="680" t="str">
        <f t="shared" si="3"/>
        <v/>
      </c>
      <c r="H77" s="677" t="str">
        <f t="shared" si="3"/>
        <v/>
      </c>
    </row>
    <row r="78" spans="1:15" x14ac:dyDescent="0.25">
      <c r="A78" s="973"/>
      <c r="C78" s="682" t="str">
        <f t="shared" si="3"/>
        <v/>
      </c>
      <c r="D78" s="676" t="str">
        <f t="shared" si="3"/>
        <v/>
      </c>
      <c r="E78" s="675" t="str">
        <f t="shared" si="3"/>
        <v/>
      </c>
      <c r="F78" s="675" t="str">
        <f t="shared" si="3"/>
        <v/>
      </c>
      <c r="G78" s="680" t="str">
        <f t="shared" si="3"/>
        <v/>
      </c>
      <c r="H78" s="677" t="str">
        <f t="shared" si="3"/>
        <v/>
      </c>
    </row>
    <row r="79" spans="1:15" x14ac:dyDescent="0.25">
      <c r="A79" s="973"/>
      <c r="C79" s="682" t="str">
        <f t="shared" ref="C79:H81" si="4">IF(C39&lt;&gt;"",C39,"")</f>
        <v/>
      </c>
      <c r="D79" s="676" t="str">
        <f t="shared" si="4"/>
        <v/>
      </c>
      <c r="E79" s="675" t="str">
        <f t="shared" si="4"/>
        <v/>
      </c>
      <c r="F79" s="675" t="str">
        <f t="shared" si="4"/>
        <v/>
      </c>
      <c r="G79" s="680" t="str">
        <f t="shared" si="4"/>
        <v/>
      </c>
      <c r="H79" s="677" t="str">
        <f t="shared" si="4"/>
        <v/>
      </c>
    </row>
    <row r="80" spans="1:15" x14ac:dyDescent="0.25">
      <c r="A80" s="973"/>
      <c r="C80" s="682" t="str">
        <f t="shared" si="4"/>
        <v/>
      </c>
      <c r="D80" s="676" t="str">
        <f t="shared" si="4"/>
        <v/>
      </c>
      <c r="E80" s="675" t="str">
        <f t="shared" si="4"/>
        <v/>
      </c>
      <c r="F80" s="675" t="str">
        <f t="shared" si="4"/>
        <v/>
      </c>
      <c r="G80" s="680" t="str">
        <f t="shared" si="4"/>
        <v/>
      </c>
      <c r="H80" s="677" t="str">
        <f t="shared" si="4"/>
        <v/>
      </c>
    </row>
    <row r="81" spans="1:9" x14ac:dyDescent="0.25">
      <c r="A81" s="973"/>
      <c r="C81" s="682" t="str">
        <f t="shared" si="4"/>
        <v/>
      </c>
      <c r="D81" s="674" t="str">
        <f t="shared" si="4"/>
        <v/>
      </c>
      <c r="E81" s="675" t="str">
        <f t="shared" si="4"/>
        <v/>
      </c>
      <c r="F81" s="675" t="str">
        <f t="shared" si="4"/>
        <v/>
      </c>
      <c r="G81" s="680" t="str">
        <f t="shared" si="4"/>
        <v/>
      </c>
      <c r="H81" s="677" t="str">
        <f t="shared" si="4"/>
        <v/>
      </c>
    </row>
    <row r="82" spans="1:9" x14ac:dyDescent="0.25">
      <c r="A82" s="973"/>
      <c r="C82" s="683"/>
      <c r="D82" s="683"/>
      <c r="E82" s="683"/>
      <c r="F82" s="683"/>
      <c r="G82" s="1040" t="str">
        <f>IF(VSK&lt;&gt;0, SUM(H62:H81),"")</f>
        <v/>
      </c>
      <c r="H82" s="1040"/>
    </row>
    <row r="83" spans="1:9" x14ac:dyDescent="0.25">
      <c r="A83" s="973"/>
    </row>
    <row r="84" spans="1:9" x14ac:dyDescent="0.25">
      <c r="A84" s="973"/>
      <c r="B84" s="428"/>
      <c r="C84" s="425" t="str">
        <f>IF(AND(ZuAbschlag&lt;&gt;0,VSK&lt;&gt;0),"Zu-/Abschlag:","")</f>
        <v/>
      </c>
      <c r="E84" s="444" t="str">
        <f>IF(AND(ZuAbschlag&lt;&gt;0,VSK&lt;&gt;0),ZuAbschlag,"")</f>
        <v/>
      </c>
      <c r="F84" s="733" t="str">
        <f>IF(AND(ZuAbschlag&lt;&gt;0,VSK&lt;&gt;0),G82*E84,"")</f>
        <v/>
      </c>
      <c r="G84" s="426" t="str">
        <f>IF(AND(ZuAbschlag&lt;&gt;0,VSK&lt;&gt;0,F44&lt;&gt;""),F44,"")</f>
        <v/>
      </c>
    </row>
    <row r="85" spans="1:9" ht="15.75" x14ac:dyDescent="0.25">
      <c r="A85" s="973"/>
      <c r="C85" s="425" t="str">
        <f>IF(AND(NK&lt;&gt;0,VSK&lt;&gt;0),"Nebenkosten:","")</f>
        <v/>
      </c>
      <c r="F85" s="733" t="str">
        <f>IF(AND(NK&lt;&gt;0,VSK&lt;&gt;0),NK,"")</f>
        <v/>
      </c>
      <c r="G85" s="426" t="str">
        <f>IF(AND(NK&lt;&gt;0,VSK&lt;&gt;0,F45&lt;&gt;""),F45,"")</f>
        <v/>
      </c>
      <c r="I85" s="445"/>
    </row>
    <row r="86" spans="1:9" x14ac:dyDescent="0.25">
      <c r="A86" s="973"/>
    </row>
    <row r="87" spans="1:9" ht="15.75" x14ac:dyDescent="0.25">
      <c r="A87" s="973"/>
      <c r="C87" s="445" t="s">
        <v>71</v>
      </c>
      <c r="D87" s="445"/>
      <c r="E87" s="445"/>
      <c r="F87" s="445"/>
      <c r="G87" s="1041">
        <f>IF(VSK&gt;0,SUM(F85,F84,G82),0)</f>
        <v>0</v>
      </c>
      <c r="H87" s="1042"/>
    </row>
    <row r="88" spans="1:9" x14ac:dyDescent="0.25">
      <c r="A88" s="973"/>
    </row>
    <row r="89" spans="1:9" x14ac:dyDescent="0.25">
      <c r="A89" s="973"/>
    </row>
    <row r="90" spans="1:9" x14ac:dyDescent="0.25">
      <c r="A90" s="973"/>
    </row>
  </sheetData>
  <mergeCells count="28">
    <mergeCell ref="C17:F17"/>
    <mergeCell ref="K62:O66"/>
    <mergeCell ref="G82:H82"/>
    <mergeCell ref="G87:H87"/>
    <mergeCell ref="F45:H45"/>
    <mergeCell ref="G47:H47"/>
    <mergeCell ref="A49:A90"/>
    <mergeCell ref="B50:I50"/>
    <mergeCell ref="B51:I51"/>
    <mergeCell ref="B52:I52"/>
    <mergeCell ref="B53:I53"/>
    <mergeCell ref="B55:I55"/>
    <mergeCell ref="F44:H44"/>
    <mergeCell ref="A1:A48"/>
    <mergeCell ref="C2:H2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8:F18"/>
  </mergeCells>
  <dataValidations count="3">
    <dataValidation type="list" showInputMessage="1" showErrorMessage="1" sqref="E22:E41">
      <formula1>$G$5:$G$18</formula1>
    </dataValidation>
    <dataValidation type="decimal" operator="greaterThan" showInputMessage="1" showErrorMessage="1" sqref="E44">
      <formula1>-1000</formula1>
    </dataValidation>
    <dataValidation type="decimal" operator="greaterThan" allowBlank="1" showInputMessage="1" showErrorMessage="1" sqref="E45">
      <formula1>-1000000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zoomScaleNormal="100" workbookViewId="0">
      <selection activeCell="D8" sqref="D8"/>
    </sheetView>
  </sheetViews>
  <sheetFormatPr baseColWidth="10" defaultRowHeight="15" x14ac:dyDescent="0.25"/>
  <cols>
    <col min="1" max="1" width="4" style="425" customWidth="1"/>
    <col min="2" max="2" width="6.7109375" style="425" customWidth="1"/>
    <col min="3" max="8" width="12.7109375" style="425" customWidth="1"/>
    <col min="9" max="9" width="5.7109375" style="425" customWidth="1"/>
    <col min="10" max="16384" width="11.42578125" style="425"/>
  </cols>
  <sheetData>
    <row r="1" spans="1:16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CELL("ZEILE",B27)</f>
        <v>27</v>
      </c>
    </row>
    <row r="2" spans="1:16" ht="23.25" x14ac:dyDescent="0.25">
      <c r="A2" s="975"/>
      <c r="B2" s="475"/>
      <c r="C2" s="476" t="s">
        <v>36</v>
      </c>
      <c r="D2" s="995" t="s">
        <v>392</v>
      </c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CELL("ZEILE",G60)</f>
        <v>60</v>
      </c>
    </row>
    <row r="3" spans="1:16" ht="23.25" x14ac:dyDescent="0.25">
      <c r="A3" s="975"/>
      <c r="B3" s="475"/>
      <c r="C3" s="516"/>
      <c r="D3" s="548"/>
      <c r="E3" s="496"/>
      <c r="F3" s="496"/>
      <c r="G3" s="496"/>
      <c r="H3" s="497"/>
      <c r="I3" s="474"/>
      <c r="K3" s="268" t="s">
        <v>794</v>
      </c>
      <c r="L3" s="236"/>
      <c r="M3" s="236"/>
      <c r="N3" s="268">
        <f>F19</f>
        <v>0</v>
      </c>
    </row>
    <row r="4" spans="1:16" ht="15.75" x14ac:dyDescent="0.25">
      <c r="A4" s="975"/>
      <c r="B4" s="546"/>
      <c r="C4" s="1044" t="s">
        <v>621</v>
      </c>
      <c r="D4" s="1045"/>
      <c r="E4" s="547" t="s">
        <v>390</v>
      </c>
      <c r="F4" s="516"/>
      <c r="G4" s="552"/>
      <c r="H4" s="545"/>
      <c r="I4" s="516"/>
    </row>
    <row r="5" spans="1:16" ht="15.75" x14ac:dyDescent="0.25">
      <c r="A5" s="975"/>
      <c r="B5" s="475"/>
      <c r="C5" s="516"/>
      <c r="D5" s="516"/>
      <c r="E5" s="516"/>
      <c r="F5" s="516"/>
      <c r="G5" s="516"/>
      <c r="H5" s="516"/>
      <c r="I5" s="516"/>
    </row>
    <row r="6" spans="1:16" ht="15.75" x14ac:dyDescent="0.25">
      <c r="A6" s="975"/>
      <c r="B6" s="475"/>
      <c r="C6" s="516" t="s">
        <v>226</v>
      </c>
      <c r="D6" s="688">
        <f>VLOOKUP(C4,Konstante!C52:E54,3,FALSE)</f>
        <v>0.29699999999999999</v>
      </c>
      <c r="E6" s="544" t="s">
        <v>389</v>
      </c>
      <c r="F6" s="486"/>
      <c r="G6" s="516"/>
      <c r="H6" s="486"/>
      <c r="I6" s="486"/>
      <c r="K6" s="513"/>
      <c r="M6" s="507"/>
    </row>
    <row r="7" spans="1:16" ht="15.75" x14ac:dyDescent="0.25">
      <c r="A7" s="975"/>
      <c r="B7" s="475"/>
      <c r="C7" s="516"/>
      <c r="D7" s="486"/>
      <c r="E7" s="536"/>
      <c r="F7" s="486"/>
      <c r="G7" s="516"/>
      <c r="H7" s="486"/>
      <c r="I7" s="486"/>
      <c r="K7" s="513"/>
      <c r="M7" s="507"/>
    </row>
    <row r="8" spans="1:16" ht="15.75" x14ac:dyDescent="0.25">
      <c r="A8" s="975"/>
      <c r="B8" s="475"/>
      <c r="C8" s="516" t="s">
        <v>297</v>
      </c>
      <c r="D8" s="554"/>
      <c r="E8" s="536" t="s">
        <v>388</v>
      </c>
      <c r="F8" s="486"/>
      <c r="G8" s="516"/>
      <c r="H8" s="486"/>
      <c r="I8" s="486"/>
      <c r="K8" s="513"/>
      <c r="M8" s="507"/>
    </row>
    <row r="9" spans="1:16" ht="15.75" x14ac:dyDescent="0.25">
      <c r="A9" s="975"/>
      <c r="B9" s="475"/>
      <c r="C9" s="516"/>
      <c r="D9" s="486"/>
      <c r="E9" s="536"/>
      <c r="F9" s="486"/>
      <c r="G9" s="516"/>
      <c r="H9" s="486"/>
      <c r="I9" s="486"/>
      <c r="K9" s="513"/>
      <c r="M9" s="507"/>
    </row>
    <row r="10" spans="1:16" ht="15.75" x14ac:dyDescent="0.25">
      <c r="A10" s="975"/>
      <c r="B10" s="475"/>
      <c r="C10" s="516" t="s">
        <v>387</v>
      </c>
      <c r="D10" s="555">
        <v>0</v>
      </c>
      <c r="E10" s="536" t="s">
        <v>386</v>
      </c>
      <c r="F10" s="486"/>
      <c r="G10" s="516"/>
      <c r="H10" s="486"/>
      <c r="I10" s="486"/>
      <c r="K10" s="513"/>
      <c r="M10" s="507"/>
    </row>
    <row r="11" spans="1:16" ht="15.75" x14ac:dyDescent="0.25">
      <c r="A11" s="975"/>
      <c r="B11" s="475"/>
      <c r="C11" s="516"/>
      <c r="D11" s="486"/>
      <c r="E11" s="486"/>
      <c r="F11" s="486"/>
      <c r="G11" s="486"/>
      <c r="H11" s="486"/>
      <c r="I11" s="486"/>
      <c r="K11" s="513"/>
      <c r="L11" s="513"/>
      <c r="N11" s="513"/>
      <c r="O11" s="513"/>
    </row>
    <row r="12" spans="1:16" ht="15.75" x14ac:dyDescent="0.25">
      <c r="A12" s="975"/>
      <c r="B12" s="475"/>
      <c r="C12" s="516" t="s">
        <v>155</v>
      </c>
      <c r="D12" s="549">
        <f>VLOOKUP(E12,Konstante!G53:H61,2,FALSE)</f>
        <v>1</v>
      </c>
      <c r="E12" s="509" t="s">
        <v>17</v>
      </c>
      <c r="F12" s="536" t="s">
        <v>375</v>
      </c>
      <c r="G12" s="516"/>
      <c r="H12" s="486"/>
      <c r="I12" s="486"/>
    </row>
    <row r="13" spans="1:16" ht="15.75" x14ac:dyDescent="0.25">
      <c r="A13" s="975"/>
      <c r="B13" s="474"/>
      <c r="C13" s="486"/>
      <c r="D13" s="486"/>
      <c r="E13" s="486"/>
      <c r="F13" s="486"/>
      <c r="G13" s="486"/>
      <c r="H13" s="486"/>
      <c r="I13" s="475"/>
      <c r="K13" s="513"/>
      <c r="L13" s="513"/>
      <c r="M13" s="518"/>
      <c r="N13" s="513"/>
      <c r="O13" s="513"/>
      <c r="P13" s="513"/>
    </row>
    <row r="14" spans="1:16" ht="15.75" x14ac:dyDescent="0.25">
      <c r="A14" s="975"/>
      <c r="B14" s="475"/>
      <c r="C14" s="486"/>
      <c r="D14" s="486"/>
      <c r="E14" s="486"/>
      <c r="F14" s="486"/>
      <c r="G14" s="486"/>
      <c r="H14" s="486"/>
      <c r="I14" s="476"/>
      <c r="K14" s="513"/>
      <c r="L14" s="513"/>
      <c r="M14" s="518"/>
      <c r="N14" s="513"/>
      <c r="O14" s="513"/>
      <c r="P14" s="513"/>
    </row>
    <row r="15" spans="1:16" ht="15.75" x14ac:dyDescent="0.25">
      <c r="A15" s="975"/>
      <c r="B15" s="475"/>
      <c r="C15" s="486"/>
      <c r="D15" s="487"/>
      <c r="E15" s="486"/>
      <c r="F15" s="488"/>
      <c r="G15" s="712" t="s">
        <v>717</v>
      </c>
      <c r="H15" s="488"/>
      <c r="I15" s="476"/>
      <c r="K15" s="513"/>
      <c r="L15" s="513"/>
      <c r="M15" s="518"/>
      <c r="N15" s="513"/>
      <c r="O15" s="513"/>
      <c r="P15" s="513"/>
    </row>
    <row r="16" spans="1:16" ht="15.75" x14ac:dyDescent="0.25">
      <c r="A16" s="975"/>
      <c r="B16" s="475"/>
      <c r="C16" s="476" t="s">
        <v>34</v>
      </c>
      <c r="D16" s="476"/>
      <c r="E16" s="489"/>
      <c r="F16" s="476"/>
      <c r="G16" s="1000"/>
      <c r="H16" s="1001"/>
      <c r="I16" s="476"/>
      <c r="K16" s="513"/>
      <c r="L16" s="513"/>
      <c r="M16" s="513"/>
      <c r="N16" s="513"/>
      <c r="O16" s="513"/>
      <c r="P16" s="513"/>
    </row>
    <row r="17" spans="1:16" ht="15.75" x14ac:dyDescent="0.25">
      <c r="A17" s="975"/>
      <c r="B17" s="475"/>
      <c r="C17" s="476" t="s">
        <v>1</v>
      </c>
      <c r="D17" s="476"/>
      <c r="E17" s="490"/>
      <c r="F17" s="476"/>
      <c r="G17" s="998"/>
      <c r="H17" s="998"/>
      <c r="I17" s="476"/>
    </row>
    <row r="18" spans="1:16" ht="15.75" x14ac:dyDescent="0.25">
      <c r="A18" s="975"/>
      <c r="B18" s="475"/>
      <c r="C18" s="476"/>
      <c r="D18" s="476"/>
      <c r="E18" s="491"/>
      <c r="F18" s="476"/>
      <c r="G18" s="475"/>
      <c r="H18" s="475"/>
      <c r="I18" s="474"/>
    </row>
    <row r="19" spans="1:16" ht="21" x14ac:dyDescent="0.35">
      <c r="A19" s="975"/>
      <c r="B19" s="474"/>
      <c r="C19" s="492" t="str">
        <f>IF(VSK=0, "UNVOLLSTÄNDIG AUSGEFÜLLT!","")</f>
        <v>UNVOLLSTÄNDIG AUSGEFÜLLT!</v>
      </c>
      <c r="D19" s="474"/>
      <c r="E19" s="474"/>
      <c r="F19" s="687">
        <f>IF(AND(ISNUMBER(S_),ISNUMBER(n)),1,0)</f>
        <v>0</v>
      </c>
      <c r="G19" s="999" t="str">
        <f>IF(VSK&lt;&gt;0, G60,"")</f>
        <v/>
      </c>
      <c r="H19" s="999"/>
      <c r="I19" s="474"/>
      <c r="P19" s="513"/>
    </row>
    <row r="20" spans="1:16" ht="15.75" x14ac:dyDescent="0.25">
      <c r="A20" s="975"/>
      <c r="B20" s="474"/>
      <c r="C20" s="474"/>
      <c r="D20" s="474"/>
      <c r="E20" s="474"/>
      <c r="F20" s="474"/>
      <c r="G20" s="474"/>
      <c r="H20" s="474"/>
      <c r="I20" s="474"/>
    </row>
    <row r="21" spans="1:16" ht="15" customHeight="1" x14ac:dyDescent="0.25">
      <c r="A21" s="973" t="s">
        <v>72</v>
      </c>
    </row>
    <row r="22" spans="1:16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6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6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6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6" x14ac:dyDescent="0.25">
      <c r="A26" s="973"/>
    </row>
    <row r="27" spans="1:16" ht="18.75" x14ac:dyDescent="0.25">
      <c r="A27" s="973"/>
      <c r="B27" s="968" t="str">
        <f>D2</f>
        <v>NIVELLEMENT</v>
      </c>
      <c r="C27" s="968"/>
      <c r="D27" s="968"/>
      <c r="E27" s="968"/>
      <c r="F27" s="968"/>
      <c r="G27" s="968"/>
      <c r="H27" s="968"/>
      <c r="I27" s="968"/>
    </row>
    <row r="28" spans="1:16" x14ac:dyDescent="0.25">
      <c r="A28" s="973"/>
    </row>
    <row r="29" spans="1:16" x14ac:dyDescent="0.25">
      <c r="A29" s="973"/>
      <c r="C29" s="425" t="s">
        <v>779</v>
      </c>
    </row>
    <row r="30" spans="1:16" x14ac:dyDescent="0.25">
      <c r="A30" s="973"/>
    </row>
    <row r="31" spans="1:16" x14ac:dyDescent="0.25">
      <c r="A31" s="973"/>
      <c r="C31" s="425" t="s">
        <v>46</v>
      </c>
      <c r="E31" s="170">
        <f>Gesamt!E14</f>
        <v>79.08</v>
      </c>
    </row>
    <row r="32" spans="1:16" x14ac:dyDescent="0.25">
      <c r="A32" s="973"/>
      <c r="C32" s="444"/>
    </row>
    <row r="33" spans="1:8" x14ac:dyDescent="0.25">
      <c r="A33" s="973"/>
      <c r="C33" s="519" t="s">
        <v>385</v>
      </c>
      <c r="E33" s="519"/>
    </row>
    <row r="34" spans="1:8" x14ac:dyDescent="0.25">
      <c r="A34" s="973"/>
      <c r="E34" s="519"/>
    </row>
    <row r="35" spans="1:8" x14ac:dyDescent="0.25">
      <c r="A35" s="973"/>
    </row>
    <row r="36" spans="1:8" ht="18.75" x14ac:dyDescent="0.3">
      <c r="A36" s="973"/>
      <c r="B36" s="437"/>
      <c r="C36" s="556" t="str">
        <f>C4</f>
        <v>Technisches Nivellement</v>
      </c>
    </row>
    <row r="37" spans="1:8" x14ac:dyDescent="0.25">
      <c r="A37" s="973"/>
      <c r="B37" s="437"/>
      <c r="C37" s="528"/>
      <c r="D37" s="532"/>
      <c r="E37" s="532"/>
      <c r="F37" s="530"/>
      <c r="G37" s="528"/>
      <c r="H37" s="528"/>
    </row>
    <row r="38" spans="1:8" x14ac:dyDescent="0.25">
      <c r="A38" s="973"/>
      <c r="C38" s="550" t="s">
        <v>302</v>
      </c>
      <c r="D38" s="523">
        <f>G</f>
        <v>0.29699999999999999</v>
      </c>
      <c r="E38" s="542" t="s">
        <v>384</v>
      </c>
      <c r="F38" s="473"/>
      <c r="G38" s="473"/>
    </row>
    <row r="39" spans="1:8" x14ac:dyDescent="0.25">
      <c r="A39" s="973"/>
      <c r="C39" s="551" t="s">
        <v>383</v>
      </c>
      <c r="D39" s="523">
        <f>S_</f>
        <v>0</v>
      </c>
      <c r="E39" s="542" t="s">
        <v>382</v>
      </c>
      <c r="F39" s="473"/>
      <c r="G39" s="473"/>
    </row>
    <row r="40" spans="1:8" x14ac:dyDescent="0.25">
      <c r="A40" s="973"/>
      <c r="C40" s="551" t="s">
        <v>381</v>
      </c>
      <c r="D40" s="523">
        <f>n</f>
        <v>0</v>
      </c>
      <c r="E40" s="542" t="s">
        <v>380</v>
      </c>
      <c r="F40" s="473"/>
      <c r="G40" s="473"/>
    </row>
    <row r="41" spans="1:8" x14ac:dyDescent="0.25">
      <c r="A41" s="973"/>
      <c r="C41" s="551" t="s">
        <v>369</v>
      </c>
      <c r="D41" s="523">
        <f>f</f>
        <v>1</v>
      </c>
      <c r="E41" s="542" t="str">
        <f>CONCATENATE("Geländeklasse und Schwierigkeitsstufe: ",E12)</f>
        <v>Geländeklasse und Schwierigkeitsstufe: Ia</v>
      </c>
      <c r="F41" s="473"/>
      <c r="G41" s="473"/>
    </row>
    <row r="42" spans="1:8" x14ac:dyDescent="0.25">
      <c r="A42" s="973"/>
      <c r="C42" s="523" t="str">
        <f>IF(AND($M$6&gt;0,M9&gt;0),"4","")</f>
        <v/>
      </c>
      <c r="D42" s="523" t="str">
        <f t="shared" ref="D42" si="0">IF(AND($M$6&gt;0,M9&gt;0),D9,"")</f>
        <v/>
      </c>
      <c r="E42" s="473" t="str">
        <f>IF(AND($M$6&gt;0,M9&gt;0),F9,"")</f>
        <v/>
      </c>
      <c r="F42" s="473"/>
      <c r="G42" s="473"/>
    </row>
    <row r="43" spans="1:8" x14ac:dyDescent="0.25">
      <c r="A43" s="973"/>
      <c r="C43" s="428" t="s">
        <v>64</v>
      </c>
      <c r="D43" s="428"/>
      <c r="E43" s="428"/>
      <c r="F43" s="467">
        <f>IF(VSK&lt;&gt;0, (13.963 * S_* G * f + 0.293 * n + 0.595) * IS,0)</f>
        <v>0</v>
      </c>
    </row>
    <row r="44" spans="1:8" x14ac:dyDescent="0.25">
      <c r="A44" s="973"/>
    </row>
    <row r="45" spans="1:8" x14ac:dyDescent="0.25">
      <c r="A45" s="973"/>
      <c r="C45" s="425" t="str">
        <f>IF(AND(VSK&gt;0,C4="Wiederholungsmessung",H4&gt;1),CONCATENATE("insgesamt ", H4, " Folgemessungen: "),"")</f>
        <v/>
      </c>
      <c r="F45" s="553" t="str">
        <f>IF(AND(VSK&gt;0,C4="Wiederholungsmessung",H4&gt;1),H4*F43,"")</f>
        <v/>
      </c>
      <c r="G45" s="426"/>
    </row>
    <row r="46" spans="1:8" x14ac:dyDescent="0.25">
      <c r="A46" s="973"/>
    </row>
    <row r="47" spans="1:8" x14ac:dyDescent="0.25">
      <c r="A47" s="973"/>
      <c r="F47" s="436"/>
      <c r="G47" s="426"/>
    </row>
    <row r="48" spans="1:8" x14ac:dyDescent="0.25">
      <c r="A48" s="973"/>
      <c r="B48" s="428"/>
    </row>
    <row r="49" spans="1:9" x14ac:dyDescent="0.25">
      <c r="A49" s="973"/>
    </row>
    <row r="50" spans="1:9" x14ac:dyDescent="0.25">
      <c r="A50" s="973"/>
    </row>
    <row r="51" spans="1:9" x14ac:dyDescent="0.25">
      <c r="A51" s="973"/>
    </row>
    <row r="52" spans="1:9" x14ac:dyDescent="0.25">
      <c r="A52" s="973"/>
    </row>
    <row r="53" spans="1:9" x14ac:dyDescent="0.25">
      <c r="A53" s="973"/>
    </row>
    <row r="54" spans="1:9" x14ac:dyDescent="0.25">
      <c r="A54" s="973"/>
    </row>
    <row r="55" spans="1:9" x14ac:dyDescent="0.25">
      <c r="A55" s="973"/>
      <c r="B55" s="428"/>
      <c r="C55" s="425" t="str">
        <f>IF(AND(ZuAbschlag&lt;&gt;0,VSK&lt;&gt;0),"Zu-/Abschlag:","")</f>
        <v/>
      </c>
      <c r="E55" s="444" t="str">
        <f>IF(AND(ZuAbschlag&lt;&gt;0,VSK&lt;&gt;0),ZuAbschlag,"")</f>
        <v/>
      </c>
      <c r="F55" s="446" t="str">
        <f>IF(AND(ZuAbschlag&lt;&gt;0,VSK&lt;&gt;0),IF(AND(H4&gt;1,C4="Wiederholungsmessung"),E55*F45,E55*F43),"")</f>
        <v/>
      </c>
      <c r="G55" s="426" t="str">
        <f>IF(AND(ZuAbschlag&lt;&gt;0,VSK&lt;&gt;0,G16&lt;&gt;""),G16,"")</f>
        <v/>
      </c>
    </row>
    <row r="56" spans="1:9" x14ac:dyDescent="0.25">
      <c r="A56" s="973"/>
    </row>
    <row r="57" spans="1:9" ht="15.75" x14ac:dyDescent="0.25">
      <c r="A57" s="973"/>
      <c r="C57" s="425" t="str">
        <f>IF(AND(NK&lt;&gt;0,VSK&lt;&gt;0),"Nebenkosten:","")</f>
        <v/>
      </c>
      <c r="F57" s="446" t="str">
        <f>IF(AND(NK&lt;&gt;0,VSK&lt;&gt;0),NK,"")</f>
        <v/>
      </c>
      <c r="G57" s="426" t="str">
        <f>IF(AND(NK&lt;&gt;0,VSK&lt;&gt;0,G17&lt;&gt;""),G17,"")</f>
        <v/>
      </c>
      <c r="I57" s="445"/>
    </row>
    <row r="58" spans="1:9" x14ac:dyDescent="0.25">
      <c r="A58" s="973"/>
    </row>
    <row r="59" spans="1:9" x14ac:dyDescent="0.25">
      <c r="A59" s="973"/>
    </row>
    <row r="60" spans="1:9" ht="15.75" x14ac:dyDescent="0.25">
      <c r="A60" s="973"/>
      <c r="C60" s="445" t="s">
        <v>71</v>
      </c>
      <c r="D60" s="445"/>
      <c r="E60" s="445"/>
      <c r="F60" s="445"/>
      <c r="G60" s="967">
        <f>IF(VSK&gt;0,IF(AND(H4&gt;1,C4="Wiederholungsmessung"),SUM(F45,F55,F57),SUM(F43,F55,F57)),0)</f>
        <v>0</v>
      </c>
      <c r="H60" s="967"/>
    </row>
    <row r="61" spans="1:9" ht="15.75" x14ac:dyDescent="0.25">
      <c r="A61" s="973"/>
      <c r="B61" s="445"/>
    </row>
    <row r="62" spans="1:9" x14ac:dyDescent="0.25">
      <c r="A62" s="973"/>
    </row>
    <row r="63" spans="1:9" x14ac:dyDescent="0.25">
      <c r="A63" s="973"/>
    </row>
    <row r="64" spans="1:9" x14ac:dyDescent="0.25">
      <c r="A64" s="973"/>
    </row>
    <row r="65" spans="1:1" x14ac:dyDescent="0.25">
      <c r="A65" s="973"/>
    </row>
    <row r="66" spans="1:1" x14ac:dyDescent="0.25">
      <c r="A66" s="973"/>
    </row>
    <row r="67" spans="1:1" x14ac:dyDescent="0.25">
      <c r="A67" s="973"/>
    </row>
    <row r="68" spans="1:1" x14ac:dyDescent="0.25">
      <c r="A68" s="973"/>
    </row>
    <row r="69" spans="1:1" x14ac:dyDescent="0.25">
      <c r="A69" s="973"/>
    </row>
  </sheetData>
  <mergeCells count="13">
    <mergeCell ref="A21:A69"/>
    <mergeCell ref="B22:I22"/>
    <mergeCell ref="B23:I23"/>
    <mergeCell ref="B24:I24"/>
    <mergeCell ref="B25:I25"/>
    <mergeCell ref="B27:I27"/>
    <mergeCell ref="G60:H60"/>
    <mergeCell ref="A1:A20"/>
    <mergeCell ref="D2:H2"/>
    <mergeCell ref="C4:D4"/>
    <mergeCell ref="G16:H16"/>
    <mergeCell ref="G17:H17"/>
    <mergeCell ref="G19:H19"/>
  </mergeCells>
  <dataValidations count="8">
    <dataValidation type="decimal" operator="greaterThan" allowBlank="1" showInputMessage="1" showErrorMessage="1" error="Wertebereich: 1 und größer" sqref="D8">
      <formula1>0</formula1>
    </dataValidation>
    <dataValidation type="decimal" operator="greaterThan" allowBlank="1" showInputMessage="1" showErrorMessage="1" error="Ganze Zahl größer 0 und kleiner 100 eingeben" sqref="D6">
      <formula1>0</formula1>
    </dataValidation>
    <dataValidation type="decimal" allowBlank="1" showInputMessage="1" showErrorMessage="1" error="Zahl zwischen 0 und 2 eingeben" sqref="F6:F10">
      <formula1>0</formula1>
      <formula2>2</formula2>
    </dataValidation>
    <dataValidation type="whole" operator="greaterThan" allowBlank="1" showInputMessage="1" showErrorMessage="1" error="Wertebereich: 1 und größer" sqref="D9:D10">
      <formula1>-1</formula1>
    </dataValidation>
    <dataValidation type="whole" operator="greaterThan" allowBlank="1" showInputMessage="1" showErrorMessage="1" error="Wertebereich: 1 und größer" sqref="D7">
      <formula1>0</formula1>
    </dataValidation>
    <dataValidation operator="greaterThan" allowBlank="1" showInputMessage="1" showErrorMessage="1" sqref="H4"/>
    <dataValidation type="decimal" operator="greaterThan" showInputMessage="1" showErrorMessage="1" sqref="E16">
      <formula1>-1000</formula1>
    </dataValidation>
    <dataValidation type="decimal" operator="greaterThan" showInputMessage="1" showErrorMessage="1" sqref="E17">
      <formula1>-1000000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Konstante!$C$52:$C$54</xm:f>
          </x14:formula1>
          <xm:sqref>C4:D4</xm:sqref>
        </x14:dataValidation>
        <x14:dataValidation type="list" allowBlank="1" showInputMessage="1" showErrorMessage="1" error="Ganze Zahl größer 0 und kleiner 100 eingeben">
          <x14:formula1>
            <xm:f>Konstante!$Y$40:$Y$48</xm:f>
          </x14:formula1>
          <xm:sqref>E12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opLeftCell="C1" zoomScaleNormal="100" zoomScaleSheetLayoutView="100" workbookViewId="0">
      <selection activeCell="D8" sqref="D8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  <col min="10" max="10" width="8.7109375" style="27" customWidth="1"/>
    <col min="11" max="11" width="11.42578125" style="136"/>
    <col min="12" max="12" width="11.42578125" style="137"/>
    <col min="13" max="18" width="11.42578125" style="138"/>
  </cols>
  <sheetData>
    <row r="1" spans="1:18" ht="17.25" customHeight="1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M1" s="137"/>
      <c r="N1" s="210">
        <f ca="1">CELL("ZEILE",B27)</f>
        <v>27</v>
      </c>
    </row>
    <row r="2" spans="1:18" ht="22.5" customHeight="1" x14ac:dyDescent="0.25">
      <c r="A2" s="975"/>
      <c r="B2" s="64"/>
      <c r="C2" s="65" t="s">
        <v>36</v>
      </c>
      <c r="D2" s="995" t="s">
        <v>709</v>
      </c>
      <c r="E2" s="996"/>
      <c r="F2" s="996"/>
      <c r="G2" s="996"/>
      <c r="H2" s="997"/>
      <c r="I2" s="63"/>
      <c r="K2" s="268" t="s">
        <v>793</v>
      </c>
      <c r="L2" s="236"/>
      <c r="M2" s="236"/>
      <c r="N2" s="268">
        <f ca="1">CELL("ZEILE",G61)</f>
        <v>61</v>
      </c>
      <c r="O2" s="139"/>
      <c r="P2" s="139"/>
    </row>
    <row r="3" spans="1:18" ht="22.5" customHeight="1" x14ac:dyDescent="0.25">
      <c r="A3" s="975"/>
      <c r="B3" s="64"/>
      <c r="C3" s="89"/>
      <c r="D3" s="90"/>
      <c r="E3" s="90"/>
      <c r="F3" s="90"/>
      <c r="G3" s="90"/>
      <c r="H3" s="91"/>
      <c r="I3" s="63"/>
      <c r="K3" s="268" t="s">
        <v>794</v>
      </c>
      <c r="L3" s="236"/>
      <c r="M3" s="236"/>
      <c r="N3" s="268">
        <f>F19</f>
        <v>0</v>
      </c>
      <c r="O3" s="139"/>
      <c r="P3" s="139"/>
    </row>
    <row r="4" spans="1:18" ht="17.25" customHeight="1" x14ac:dyDescent="0.25">
      <c r="A4" s="975"/>
      <c r="B4" s="64"/>
      <c r="C4" s="92"/>
      <c r="D4" s="19"/>
      <c r="E4" s="19"/>
      <c r="F4" s="19"/>
      <c r="G4" s="19"/>
      <c r="H4" s="93"/>
      <c r="I4" s="63"/>
      <c r="K4" s="139"/>
      <c r="L4" s="139"/>
      <c r="M4" s="139"/>
      <c r="N4" s="139"/>
      <c r="O4" s="139"/>
      <c r="P4" s="139"/>
      <c r="Q4" s="139"/>
    </row>
    <row r="5" spans="1:18" ht="17.25" customHeight="1" x14ac:dyDescent="0.25">
      <c r="A5" s="975"/>
      <c r="B5" s="64"/>
      <c r="C5" s="97" t="s">
        <v>120</v>
      </c>
      <c r="D5" s="134" t="s">
        <v>9</v>
      </c>
      <c r="E5" s="19"/>
      <c r="F5" s="19"/>
      <c r="G5" s="19"/>
      <c r="H5" s="93"/>
      <c r="I5" s="63"/>
      <c r="K5" s="139"/>
      <c r="L5" s="139"/>
      <c r="M5" s="139"/>
      <c r="N5" s="139"/>
      <c r="O5" s="139"/>
      <c r="P5" s="139"/>
    </row>
    <row r="6" spans="1:18" ht="17.25" customHeight="1" x14ac:dyDescent="0.25">
      <c r="A6" s="975"/>
      <c r="B6" s="64"/>
      <c r="C6" s="97" t="s">
        <v>121</v>
      </c>
      <c r="D6" s="1046" t="s">
        <v>149</v>
      </c>
      <c r="E6" s="1046"/>
      <c r="F6" s="1046"/>
      <c r="G6" s="19"/>
      <c r="H6" s="93"/>
      <c r="I6" s="63"/>
      <c r="K6" s="136">
        <f>VLOOKUP(D6,Konstante!AN67:AO70,2,FALSE)</f>
        <v>1.02</v>
      </c>
      <c r="L6" s="379" t="s">
        <v>152</v>
      </c>
    </row>
    <row r="7" spans="1:18" ht="19.5" customHeight="1" x14ac:dyDescent="0.25">
      <c r="A7" s="975"/>
      <c r="B7" s="64"/>
      <c r="C7" s="97"/>
      <c r="D7" s="19"/>
      <c r="E7" s="19"/>
      <c r="F7" s="19"/>
      <c r="G7" s="19"/>
      <c r="H7" s="93"/>
      <c r="I7" s="63"/>
      <c r="L7" s="379" t="s">
        <v>153</v>
      </c>
    </row>
    <row r="8" spans="1:18" s="2" customFormat="1" ht="20.100000000000001" customHeight="1" x14ac:dyDescent="0.25">
      <c r="A8" s="975"/>
      <c r="B8" s="64"/>
      <c r="C8" s="97" t="s">
        <v>181</v>
      </c>
      <c r="D8" s="131"/>
      <c r="E8" s="19"/>
      <c r="F8" s="19"/>
      <c r="G8" s="19"/>
      <c r="H8" s="93"/>
      <c r="I8" s="65"/>
      <c r="J8" s="28"/>
      <c r="K8" s="140"/>
      <c r="L8" s="141"/>
      <c r="M8" s="142"/>
      <c r="N8" s="142"/>
      <c r="O8" s="142"/>
      <c r="P8" s="142"/>
      <c r="Q8" s="142"/>
      <c r="R8" s="142"/>
    </row>
    <row r="9" spans="1:18" s="2" customFormat="1" ht="20.100000000000001" customHeight="1" x14ac:dyDescent="0.25">
      <c r="A9" s="975"/>
      <c r="B9" s="64"/>
      <c r="C9" s="92"/>
      <c r="D9" s="19"/>
      <c r="E9" s="19"/>
      <c r="F9" s="19"/>
      <c r="G9" s="19"/>
      <c r="H9" s="93"/>
      <c r="I9" s="64"/>
      <c r="J9" s="28"/>
      <c r="K9" s="140" t="s">
        <v>154</v>
      </c>
      <c r="L9" s="141" t="s">
        <v>155</v>
      </c>
      <c r="M9" s="142" t="s">
        <v>133</v>
      </c>
      <c r="N9" s="142" t="s">
        <v>156</v>
      </c>
      <c r="O9" s="142" t="s">
        <v>159</v>
      </c>
      <c r="P9" s="142"/>
      <c r="Q9" s="142"/>
      <c r="R9" s="142"/>
    </row>
    <row r="10" spans="1:18" s="2" customFormat="1" ht="20.100000000000001" customHeight="1" x14ac:dyDescent="0.25">
      <c r="A10" s="975"/>
      <c r="B10" s="64"/>
      <c r="C10" s="97" t="s">
        <v>122</v>
      </c>
      <c r="D10" s="131"/>
      <c r="E10" s="19"/>
      <c r="F10" s="99" t="s">
        <v>124</v>
      </c>
      <c r="G10" s="100" t="s">
        <v>20</v>
      </c>
      <c r="H10" s="93"/>
      <c r="I10" s="64"/>
      <c r="J10" s="28"/>
      <c r="K10" s="558">
        <f>IF(AND(D10&gt;0,D10&lt;0.5),0.5,D10)</f>
        <v>0</v>
      </c>
      <c r="L10" s="557" t="e">
        <f>IF((0.8944-SQRT(K10/($D$8*10)))*0.8944&lt;0,0,(0.8944-SQRT(K10/($D$8*10)))*0.8944)</f>
        <v>#DIV/0!</v>
      </c>
      <c r="M10" s="557">
        <f ca="1">VLOOKUP(G10,INDIRECT(VLOOKUP($D$5,Konstante!$AH$68:$AL$72,2,FALSE)),VLOOKUP(K10,Konstante!$AH$75:$AI$78,2,TRUE))</f>
        <v>-12.26</v>
      </c>
      <c r="N10" s="226">
        <f ca="1">VLOOKUP(G10,INDIRECT(VLOOKUP($D$5,Konstante!$AH$68:$AL$72,4,FALSE)),VLOOKUP(K10,Konstante!$AH$75:$AI$78,2,TRUE))</f>
        <v>27.06</v>
      </c>
      <c r="O10" s="142" t="e">
        <f ca="1">(1+L10)*K10*(M10*K10+N10)*$K$6*Gesamt!$E$14</f>
        <v>#DIV/0!</v>
      </c>
      <c r="P10" s="142"/>
      <c r="Q10" s="142"/>
      <c r="R10" s="142"/>
    </row>
    <row r="11" spans="1:18" s="2" customFormat="1" ht="20.100000000000001" customHeight="1" x14ac:dyDescent="0.25">
      <c r="A11" s="975"/>
      <c r="B11" s="64"/>
      <c r="C11" s="97" t="s">
        <v>122</v>
      </c>
      <c r="D11" s="131"/>
      <c r="E11" s="19"/>
      <c r="F11" s="99" t="s">
        <v>124</v>
      </c>
      <c r="G11" s="100" t="s">
        <v>20</v>
      </c>
      <c r="H11" s="93"/>
      <c r="I11" s="64"/>
      <c r="J11" s="28"/>
      <c r="K11" s="558">
        <f t="shared" ref="K11:K12" si="0">IF(AND(D11&gt;0,D11&lt;0.5),0.5,D11)</f>
        <v>0</v>
      </c>
      <c r="L11" s="557" t="e">
        <f>IF((0.8944-SQRT(K11/($D$8*10)))*0.8944&lt;0,0,(0.8944-SQRT(K11/($D$8*10)))*0.8944)</f>
        <v>#DIV/0!</v>
      </c>
      <c r="M11" s="557">
        <f ca="1">VLOOKUP(G11,INDIRECT(VLOOKUP($D$5,Konstante!$AH$68:$AL$72,2,FALSE)),VLOOKUP(K11,Konstante!$AH$75:$AI$78,2,TRUE))</f>
        <v>-12.26</v>
      </c>
      <c r="N11" s="226">
        <f ca="1">VLOOKUP(G11,INDIRECT(VLOOKUP($D$5,Konstante!$AH$68:$AL$72,4,FALSE)),VLOOKUP(K11,Konstante!$AH$75:$AI$78,2,TRUE))</f>
        <v>27.06</v>
      </c>
      <c r="O11" s="142" t="e">
        <f ca="1">(1+L11)*K11*(M11*K11+N11)*$K$6*Gesamt!$E$14</f>
        <v>#DIV/0!</v>
      </c>
      <c r="P11" s="142"/>
      <c r="Q11" s="142"/>
      <c r="R11" s="142"/>
    </row>
    <row r="12" spans="1:18" s="2" customFormat="1" ht="20.100000000000001" customHeight="1" thickBot="1" x14ac:dyDescent="0.3">
      <c r="A12" s="975"/>
      <c r="B12" s="64"/>
      <c r="C12" s="97" t="s">
        <v>122</v>
      </c>
      <c r="D12" s="131"/>
      <c r="E12" s="19"/>
      <c r="F12" s="99" t="s">
        <v>124</v>
      </c>
      <c r="G12" s="100" t="s">
        <v>20</v>
      </c>
      <c r="H12" s="93"/>
      <c r="I12" s="65"/>
      <c r="J12" s="28"/>
      <c r="K12" s="558">
        <f t="shared" si="0"/>
        <v>0</v>
      </c>
      <c r="L12" s="557" t="e">
        <f>IF((0.8944-SQRT(K12/($D$8*10)))*0.8944&lt;0,0,(0.8944-SQRT(K12/($D$8*10)))*0.8944)</f>
        <v>#DIV/0!</v>
      </c>
      <c r="M12" s="557">
        <f ca="1">VLOOKUP(G12,INDIRECT(VLOOKUP($D$5,Konstante!$AH$68:$AL$72,2,FALSE)),VLOOKUP(K12,Konstante!$AH$75:$AI$78,2,TRUE))</f>
        <v>-12.26</v>
      </c>
      <c r="N12" s="226">
        <f ca="1">VLOOKUP(G12,INDIRECT(VLOOKUP($D$5,Konstante!$AH$68:$AL$72,4,FALSE)),VLOOKUP(K12,Konstante!$AH$75:$AI$78,2,TRUE))</f>
        <v>27.06</v>
      </c>
      <c r="O12" s="142" t="e">
        <f ca="1">(1+L12)*K12*(M12*K12+N12)*$K$6*Gesamt!$E$14</f>
        <v>#DIV/0!</v>
      </c>
      <c r="P12" s="142"/>
      <c r="Q12" s="142"/>
      <c r="R12" s="142"/>
    </row>
    <row r="13" spans="1:18" s="2" customFormat="1" ht="20.100000000000001" customHeight="1" x14ac:dyDescent="0.25">
      <c r="A13" s="975"/>
      <c r="B13" s="63"/>
      <c r="C13" s="97" t="s">
        <v>123</v>
      </c>
      <c r="D13" s="132">
        <f>SUM(D10:D12)</f>
        <v>0</v>
      </c>
      <c r="E13" s="19" t="s">
        <v>173</v>
      </c>
      <c r="F13" s="19"/>
      <c r="G13" s="19"/>
      <c r="H13" s="93"/>
      <c r="I13" s="65"/>
      <c r="J13" s="28"/>
      <c r="K13" s="140"/>
      <c r="L13" s="141"/>
      <c r="M13" s="140"/>
      <c r="N13" s="143"/>
      <c r="O13" s="142">
        <f>IF(F19=1,SUM(O10:O12),0)</f>
        <v>0</v>
      </c>
      <c r="P13" s="142"/>
      <c r="Q13" s="142"/>
      <c r="R13" s="142"/>
    </row>
    <row r="14" spans="1:18" s="2" customFormat="1" ht="20.100000000000001" customHeight="1" x14ac:dyDescent="0.25">
      <c r="A14" s="975"/>
      <c r="B14" s="64"/>
      <c r="C14" s="92"/>
      <c r="D14" s="19"/>
      <c r="E14" s="19"/>
      <c r="F14" s="19"/>
      <c r="G14" s="19"/>
      <c r="H14" s="93"/>
      <c r="I14" s="65"/>
      <c r="J14" s="28"/>
      <c r="K14" s="140"/>
      <c r="L14" s="141"/>
      <c r="M14" s="140"/>
      <c r="N14" s="143"/>
      <c r="O14" s="142">
        <f>IF(E17&lt;&gt;0,O13*E17,0)</f>
        <v>0</v>
      </c>
      <c r="P14" s="142"/>
      <c r="Q14" s="142"/>
      <c r="R14" s="142"/>
    </row>
    <row r="15" spans="1:18" s="2" customFormat="1" ht="20.100000000000001" customHeight="1" x14ac:dyDescent="0.25">
      <c r="A15" s="975"/>
      <c r="B15" s="64"/>
      <c r="C15" s="94"/>
      <c r="D15" s="101" t="s">
        <v>125</v>
      </c>
      <c r="E15" s="133" t="s">
        <v>153</v>
      </c>
      <c r="F15" s="95"/>
      <c r="G15" s="95"/>
      <c r="H15" s="96"/>
      <c r="I15" s="65"/>
      <c r="J15" s="28"/>
      <c r="K15" s="140"/>
      <c r="L15" s="141"/>
      <c r="M15" s="140"/>
      <c r="N15" s="143"/>
      <c r="O15" s="142">
        <f>IF(E15="ja",0,-O$13*0.1)</f>
        <v>0</v>
      </c>
      <c r="P15" s="142"/>
      <c r="Q15" s="142">
        <f>IF(E$15="ja",1,0)</f>
        <v>0</v>
      </c>
      <c r="R15" s="142"/>
    </row>
    <row r="16" spans="1:18" s="2" customFormat="1" ht="20.100000000000001" customHeight="1" x14ac:dyDescent="0.25">
      <c r="A16" s="975"/>
      <c r="B16" s="64"/>
      <c r="C16" s="65"/>
      <c r="D16" s="102" t="s">
        <v>126</v>
      </c>
      <c r="E16" s="133" t="s">
        <v>153</v>
      </c>
      <c r="F16" s="65"/>
      <c r="G16" s="712" t="s">
        <v>717</v>
      </c>
      <c r="H16" s="64"/>
      <c r="I16" s="65"/>
      <c r="J16" s="28"/>
      <c r="K16" s="140"/>
      <c r="L16" s="144"/>
      <c r="M16" s="140"/>
      <c r="N16" s="143"/>
      <c r="O16" s="142">
        <f>IF(E16="ja",0,-O$13*0.05)</f>
        <v>0</v>
      </c>
      <c r="P16" s="142"/>
      <c r="Q16" s="142">
        <f>IF(E$16="ja",2,0)</f>
        <v>0</v>
      </c>
      <c r="R16" s="142"/>
    </row>
    <row r="17" spans="1:18" s="2" customFormat="1" ht="20.100000000000001" customHeight="1" x14ac:dyDescent="0.25">
      <c r="A17" s="975"/>
      <c r="B17" s="64"/>
      <c r="C17" s="476"/>
      <c r="D17" s="102" t="s">
        <v>707</v>
      </c>
      <c r="E17" s="561"/>
      <c r="F17" s="476"/>
      <c r="G17" s="1000"/>
      <c r="H17" s="1001"/>
      <c r="I17" s="65"/>
      <c r="J17" s="28"/>
      <c r="K17" s="140"/>
      <c r="L17" s="144"/>
      <c r="M17" s="140"/>
      <c r="N17" s="143"/>
      <c r="O17" s="142">
        <f>SUM(O13,O14,O15,O16)</f>
        <v>0</v>
      </c>
      <c r="P17" s="142"/>
      <c r="Q17" s="142">
        <f>SUM(Q15:Q16)</f>
        <v>0</v>
      </c>
      <c r="R17" s="142" t="s">
        <v>858</v>
      </c>
    </row>
    <row r="18" spans="1:18" s="2" customFormat="1" ht="20.100000000000001" customHeight="1" x14ac:dyDescent="0.25">
      <c r="A18" s="975"/>
      <c r="B18" s="64"/>
      <c r="C18" s="65"/>
      <c r="D18" s="102" t="s">
        <v>705</v>
      </c>
      <c r="E18" s="708"/>
      <c r="F18" s="65"/>
      <c r="G18" s="64"/>
      <c r="H18" s="64"/>
      <c r="I18" s="63"/>
      <c r="J18" s="28"/>
      <c r="K18" s="140"/>
      <c r="L18" s="144"/>
      <c r="M18" s="140"/>
      <c r="N18" s="143"/>
      <c r="O18" s="142"/>
      <c r="P18" s="142"/>
      <c r="Q18" s="142"/>
      <c r="R18" s="142"/>
    </row>
    <row r="19" spans="1:18" ht="19.5" customHeight="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7">
        <f>IF(OR(D8&lt;0.1,AND(D10&lt;0.01,D11&lt;0.01,D12&lt;0.01)),0,1)</f>
        <v>0</v>
      </c>
      <c r="G19" s="999" t="str">
        <f>IF(F19&lt;&gt;0, O17+E18,"")</f>
        <v/>
      </c>
      <c r="H19" s="999"/>
      <c r="I19" s="63"/>
      <c r="M19" s="136"/>
    </row>
    <row r="20" spans="1:18" ht="19.5" customHeight="1" x14ac:dyDescent="0.25">
      <c r="A20" s="975"/>
      <c r="B20" s="63"/>
      <c r="C20" s="63"/>
      <c r="D20" s="63"/>
      <c r="E20" s="63"/>
      <c r="F20" s="63"/>
      <c r="G20" s="63"/>
      <c r="H20" s="63"/>
      <c r="I20" s="63"/>
    </row>
    <row r="21" spans="1:18" x14ac:dyDescent="0.25">
      <c r="A21" s="973" t="s">
        <v>72</v>
      </c>
    </row>
    <row r="22" spans="1:18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8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8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8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8" x14ac:dyDescent="0.25">
      <c r="A26" s="973"/>
    </row>
    <row r="27" spans="1:18" s="88" customFormat="1" ht="23.25" customHeight="1" x14ac:dyDescent="0.25">
      <c r="A27" s="973"/>
      <c r="B27" s="968" t="str">
        <f>D2</f>
        <v>LAGE- und HÖHENPLAN</v>
      </c>
      <c r="C27" s="994"/>
      <c r="D27" s="994"/>
      <c r="E27" s="994"/>
      <c r="F27" s="994"/>
      <c r="G27" s="994"/>
      <c r="H27" s="994"/>
      <c r="I27" s="994"/>
      <c r="J27" s="29"/>
      <c r="K27" s="145"/>
      <c r="L27" s="146"/>
      <c r="M27" s="147"/>
      <c r="N27" s="147"/>
      <c r="O27" s="147"/>
      <c r="P27" s="147"/>
      <c r="Q27" s="147"/>
      <c r="R27" s="147"/>
    </row>
    <row r="28" spans="1:18" x14ac:dyDescent="0.25">
      <c r="A28" s="973"/>
      <c r="C28" s="45"/>
      <c r="D28" s="45"/>
      <c r="E28" s="45"/>
      <c r="F28" s="45"/>
      <c r="G28" s="45"/>
      <c r="H28" s="45"/>
    </row>
    <row r="29" spans="1:18" x14ac:dyDescent="0.25">
      <c r="A29" s="973"/>
      <c r="C29" s="45" t="s">
        <v>780</v>
      </c>
      <c r="D29" s="45"/>
      <c r="E29" s="45"/>
      <c r="F29" s="45"/>
      <c r="G29" s="45"/>
      <c r="H29" s="45"/>
    </row>
    <row r="30" spans="1:18" x14ac:dyDescent="0.25">
      <c r="A30" s="973"/>
      <c r="C30" s="45"/>
      <c r="D30" s="45"/>
      <c r="E30" s="45"/>
      <c r="F30" s="45"/>
      <c r="G30" s="45"/>
      <c r="H30" s="45"/>
    </row>
    <row r="31" spans="1:18" x14ac:dyDescent="0.25">
      <c r="A31" s="973"/>
      <c r="C31" s="45" t="s">
        <v>46</v>
      </c>
      <c r="D31" s="45"/>
      <c r="E31" s="367">
        <f>Gesamt!E14</f>
        <v>79.08</v>
      </c>
      <c r="F31" s="45"/>
      <c r="G31" s="45"/>
      <c r="H31" s="45"/>
    </row>
    <row r="32" spans="1:18" x14ac:dyDescent="0.25">
      <c r="A32" s="973"/>
      <c r="B32" s="425"/>
      <c r="C32" s="473"/>
      <c r="D32" s="473"/>
      <c r="E32" s="367"/>
      <c r="F32" s="473"/>
      <c r="G32" s="473"/>
      <c r="H32" s="473"/>
      <c r="I32" s="425"/>
    </row>
    <row r="33" spans="1:18" x14ac:dyDescent="0.25">
      <c r="A33" s="973"/>
      <c r="B33" s="425"/>
      <c r="C33" s="473"/>
      <c r="D33" s="473"/>
      <c r="E33" s="367"/>
      <c r="F33" s="473"/>
      <c r="G33" s="473"/>
      <c r="H33" s="473"/>
      <c r="I33" s="425"/>
    </row>
    <row r="34" spans="1:18" x14ac:dyDescent="0.25">
      <c r="A34" s="973"/>
      <c r="B34" s="425"/>
      <c r="C34" s="473" t="str">
        <f>VLOOKUP(Q17,Konstante!AK75:AL78,2)</f>
        <v>H = (1 + f) * F * (k * F+d) * E * IS+N</v>
      </c>
      <c r="D34" s="473"/>
      <c r="E34" s="367"/>
      <c r="F34" s="473"/>
      <c r="G34" s="473"/>
      <c r="H34" s="473"/>
      <c r="I34" s="425"/>
    </row>
    <row r="35" spans="1:18" x14ac:dyDescent="0.25">
      <c r="A35" s="973"/>
      <c r="B35" s="425"/>
      <c r="C35" s="473"/>
      <c r="D35" s="473"/>
      <c r="E35" s="367"/>
      <c r="F35" s="473"/>
      <c r="G35" s="473"/>
      <c r="H35" s="473"/>
      <c r="I35" s="425"/>
    </row>
    <row r="36" spans="1:18" x14ac:dyDescent="0.25">
      <c r="A36" s="973"/>
      <c r="B36" s="425"/>
      <c r="C36" s="473"/>
      <c r="D36" s="473"/>
      <c r="E36" s="367"/>
      <c r="F36" s="473"/>
      <c r="G36" s="473"/>
      <c r="H36" s="473"/>
      <c r="I36" s="425"/>
    </row>
    <row r="37" spans="1:18" x14ac:dyDescent="0.25">
      <c r="A37" s="973"/>
      <c r="B37" s="425"/>
      <c r="C37" s="473" t="s">
        <v>856</v>
      </c>
      <c r="D37" s="473"/>
      <c r="E37" s="367"/>
      <c r="F37" s="473"/>
      <c r="G37" s="473"/>
      <c r="H37" s="473"/>
      <c r="I37" s="425"/>
    </row>
    <row r="38" spans="1:18" x14ac:dyDescent="0.25">
      <c r="A38" s="973"/>
      <c r="B38" s="425"/>
      <c r="C38" s="473"/>
      <c r="D38" s="473"/>
      <c r="E38" s="367"/>
      <c r="F38" s="473"/>
      <c r="G38" s="473"/>
      <c r="H38" s="473"/>
      <c r="I38" s="425"/>
    </row>
    <row r="39" spans="1:18" x14ac:dyDescent="0.25">
      <c r="A39" s="973"/>
      <c r="B39" s="425"/>
      <c r="C39" s="473"/>
      <c r="D39" s="473"/>
      <c r="E39" s="367"/>
      <c r="F39" s="473"/>
      <c r="G39" s="473"/>
      <c r="H39" s="473"/>
      <c r="I39" s="425"/>
    </row>
    <row r="40" spans="1:18" x14ac:dyDescent="0.25">
      <c r="A40" s="973"/>
      <c r="C40" s="155" t="s">
        <v>120</v>
      </c>
      <c r="D40" s="45"/>
      <c r="E40" s="45" t="str">
        <f>D5</f>
        <v>1:500</v>
      </c>
      <c r="F40" s="45"/>
      <c r="G40" s="45"/>
      <c r="H40" s="45"/>
      <c r="J40" s="30"/>
    </row>
    <row r="41" spans="1:18" x14ac:dyDescent="0.25">
      <c r="A41" s="973"/>
      <c r="C41" s="155" t="s">
        <v>121</v>
      </c>
      <c r="D41" s="45"/>
      <c r="E41" s="45" t="str">
        <f>D6</f>
        <v>1-20</v>
      </c>
      <c r="F41" s="45"/>
      <c r="G41" s="45"/>
      <c r="H41" s="45"/>
      <c r="J41" s="30"/>
    </row>
    <row r="42" spans="1:18" x14ac:dyDescent="0.25">
      <c r="A42" s="973"/>
      <c r="C42" s="135"/>
      <c r="D42" s="45"/>
      <c r="E42" s="45"/>
      <c r="F42" s="45"/>
      <c r="G42" s="45"/>
      <c r="H42" s="45"/>
      <c r="J42" s="30"/>
    </row>
    <row r="43" spans="1:18" x14ac:dyDescent="0.25">
      <c r="A43" s="973"/>
      <c r="B43" s="22"/>
      <c r="C43" s="156" t="s">
        <v>160</v>
      </c>
      <c r="D43" s="156"/>
      <c r="E43" s="194">
        <f>D8</f>
        <v>0</v>
      </c>
      <c r="F43" s="156"/>
      <c r="G43" s="156"/>
      <c r="H43" s="156"/>
      <c r="I43" s="22"/>
      <c r="J43" s="30"/>
    </row>
    <row r="44" spans="1:18" x14ac:dyDescent="0.25">
      <c r="A44" s="973"/>
      <c r="B44" s="22"/>
      <c r="C44" s="45"/>
      <c r="D44" s="45"/>
      <c r="E44" s="154"/>
      <c r="F44" s="45"/>
      <c r="G44" s="45"/>
      <c r="H44" s="45"/>
      <c r="I44" s="22"/>
    </row>
    <row r="45" spans="1:18" x14ac:dyDescent="0.25">
      <c r="A45" s="973"/>
      <c r="C45" s="45"/>
      <c r="D45" s="45"/>
      <c r="E45" s="163"/>
      <c r="F45" s="45"/>
      <c r="G45" s="45"/>
      <c r="H45" s="45"/>
      <c r="K45" s="171"/>
    </row>
    <row r="46" spans="1:18" x14ac:dyDescent="0.25">
      <c r="A46" s="973"/>
      <c r="C46" s="45"/>
      <c r="D46" s="45"/>
      <c r="E46" s="45"/>
      <c r="F46" s="45"/>
      <c r="G46" s="45"/>
      <c r="H46" s="45"/>
      <c r="K46" s="171"/>
    </row>
    <row r="47" spans="1:18" s="3" customFormat="1" x14ac:dyDescent="0.25">
      <c r="A47" s="973"/>
      <c r="B47"/>
      <c r="C47" s="86" t="s">
        <v>162</v>
      </c>
      <c r="D47" s="86"/>
      <c r="E47" s="87" t="s">
        <v>163</v>
      </c>
      <c r="F47" s="86"/>
      <c r="G47" s="86"/>
      <c r="H47" s="86"/>
      <c r="I47"/>
      <c r="J47" s="33"/>
      <c r="K47" s="172"/>
      <c r="L47" s="148"/>
      <c r="M47" s="149"/>
      <c r="N47" s="149"/>
      <c r="O47" s="149"/>
      <c r="P47" s="149"/>
      <c r="Q47" s="149"/>
      <c r="R47" s="149"/>
    </row>
    <row r="48" spans="1:18" x14ac:dyDescent="0.25">
      <c r="A48" s="973"/>
      <c r="C48" s="154" t="str">
        <f>IF(D10&gt;0,"A1=","")</f>
        <v/>
      </c>
      <c r="D48" s="173" t="str">
        <f>IF(D10&gt;0,D10,"")</f>
        <v/>
      </c>
      <c r="E48" s="174" t="str">
        <f>IF(D10&gt;0,G10,"")</f>
        <v/>
      </c>
      <c r="F48" s="175"/>
      <c r="G48" s="154"/>
      <c r="H48" s="155"/>
      <c r="K48" s="171"/>
    </row>
    <row r="49" spans="1:18" x14ac:dyDescent="0.25">
      <c r="A49" s="973"/>
      <c r="C49" s="154" t="str">
        <f>IF(D11&gt;0,"A2=","")</f>
        <v/>
      </c>
      <c r="D49" s="173" t="str">
        <f>IF(D11&gt;0,D11,"")</f>
        <v/>
      </c>
      <c r="E49" s="174" t="str">
        <f>IF(D11&gt;0,G11,"")</f>
        <v/>
      </c>
      <c r="F49" s="175"/>
      <c r="G49" s="154"/>
      <c r="H49" s="155"/>
    </row>
    <row r="50" spans="1:18" x14ac:dyDescent="0.25">
      <c r="A50" s="973"/>
      <c r="C50" s="154" t="str">
        <f>IF(D12&gt;0,"A3=","")</f>
        <v/>
      </c>
      <c r="D50" s="177" t="str">
        <f>IF(D12&gt;0,D12,"")</f>
        <v/>
      </c>
      <c r="E50" s="174" t="str">
        <f>IF(D12&gt;0,G12,"")</f>
        <v/>
      </c>
      <c r="F50" s="178"/>
      <c r="G50" s="176"/>
      <c r="H50" s="179"/>
    </row>
    <row r="51" spans="1:18" x14ac:dyDescent="0.25">
      <c r="A51" s="973"/>
      <c r="C51" s="180" t="s">
        <v>161</v>
      </c>
      <c r="D51" s="181">
        <f>SUM(D48:D50)</f>
        <v>0</v>
      </c>
      <c r="E51" s="182"/>
      <c r="F51" s="183"/>
      <c r="G51" s="184"/>
      <c r="H51" s="164"/>
    </row>
    <row r="52" spans="1:18" x14ac:dyDescent="0.25">
      <c r="A52" s="973"/>
      <c r="C52" s="45"/>
      <c r="D52" s="42"/>
      <c r="E52" s="185"/>
      <c r="F52" s="186"/>
      <c r="G52" s="42"/>
      <c r="H52" s="45"/>
    </row>
    <row r="53" spans="1:18" x14ac:dyDescent="0.25">
      <c r="A53" s="973"/>
      <c r="C53" s="45"/>
      <c r="D53" s="45"/>
      <c r="E53" s="45"/>
      <c r="F53" s="45"/>
      <c r="G53" s="45"/>
      <c r="H53" s="45"/>
    </row>
    <row r="54" spans="1:18" s="15" customFormat="1" ht="15.75" x14ac:dyDescent="0.25">
      <c r="A54" s="973"/>
      <c r="B54" s="3"/>
      <c r="C54" s="45" t="s">
        <v>64</v>
      </c>
      <c r="D54" s="45"/>
      <c r="E54" s="45"/>
      <c r="F54" s="170">
        <f>IF(F19&lt;&gt;0,ROUND(O13,2),0)</f>
        <v>0</v>
      </c>
      <c r="G54" s="45"/>
      <c r="H54" s="45"/>
      <c r="I54" s="3"/>
      <c r="J54" s="166"/>
      <c r="K54" s="167"/>
      <c r="L54" s="168"/>
      <c r="M54" s="169"/>
      <c r="N54" s="169"/>
      <c r="O54" s="169"/>
      <c r="P54" s="169"/>
      <c r="Q54" s="169"/>
      <c r="R54" s="169"/>
    </row>
    <row r="55" spans="1:18" x14ac:dyDescent="0.25">
      <c r="A55" s="973"/>
      <c r="C55" s="473" t="str">
        <f>IF(E17&lt;&gt;0,CONCATENATE(G17," (",E17*100," %)",":"),"")</f>
        <v/>
      </c>
      <c r="D55" s="45"/>
      <c r="E55" s="45"/>
      <c r="F55" s="170" t="str">
        <f>IF(E17&lt;&gt;0,ROUND(O14,2),"")</f>
        <v/>
      </c>
      <c r="G55" s="45"/>
      <c r="H55" s="45"/>
    </row>
    <row r="56" spans="1:18" x14ac:dyDescent="0.25">
      <c r="A56" s="973"/>
      <c r="C56" s="45" t="str">
        <f>IF(E18&gt;0,"Nebenkosten:","")</f>
        <v/>
      </c>
      <c r="D56" s="45"/>
      <c r="E56" s="45"/>
      <c r="F56" s="170" t="str">
        <f>IF(E18&gt;0,ROUND(E18,2),"")</f>
        <v/>
      </c>
      <c r="G56" s="45"/>
      <c r="H56" s="45"/>
    </row>
    <row r="57" spans="1:18" x14ac:dyDescent="0.25">
      <c r="A57" s="973"/>
      <c r="C57" s="45"/>
      <c r="D57" s="45"/>
      <c r="E57" s="45"/>
      <c r="F57" s="170"/>
      <c r="G57" s="45"/>
      <c r="H57" s="45"/>
    </row>
    <row r="58" spans="1:18" x14ac:dyDescent="0.25">
      <c r="A58" s="973"/>
      <c r="C58" s="135" t="str">
        <f>IF(O15&lt;&gt;0,"ohne Höhenschichtenlinien (-10%):","")</f>
        <v/>
      </c>
      <c r="D58" s="45"/>
      <c r="E58" s="154"/>
      <c r="F58" s="170" t="str">
        <f>IF(O15&lt;&gt;0,ROUND(O15,2),"")</f>
        <v/>
      </c>
      <c r="G58" s="45"/>
      <c r="H58" s="45"/>
    </row>
    <row r="59" spans="1:18" x14ac:dyDescent="0.25">
      <c r="A59" s="973"/>
      <c r="C59" s="135" t="str">
        <f>IF(O16&lt;&gt;0,"Höhenkoten nicht freistellen (-5%):","")</f>
        <v/>
      </c>
      <c r="D59" s="45"/>
      <c r="E59" s="154"/>
      <c r="F59" s="170" t="str">
        <f>IF(O16&lt;&gt;0,ROUND(O16,2),"")</f>
        <v/>
      </c>
      <c r="G59" s="45"/>
      <c r="H59" s="45"/>
    </row>
    <row r="60" spans="1:18" s="25" customFormat="1" ht="15.75" x14ac:dyDescent="0.25">
      <c r="A60" s="973"/>
      <c r="B60"/>
      <c r="C60" s="164"/>
      <c r="D60" s="164"/>
      <c r="E60" s="164"/>
      <c r="F60" s="164"/>
      <c r="G60" s="164"/>
      <c r="H60" s="164"/>
      <c r="I60"/>
      <c r="J60" s="31"/>
      <c r="K60" s="150"/>
      <c r="L60" s="151"/>
      <c r="M60" s="152"/>
      <c r="N60" s="152"/>
      <c r="O60" s="152"/>
      <c r="P60" s="152"/>
      <c r="Q60" s="152"/>
      <c r="R60" s="152"/>
    </row>
    <row r="61" spans="1:18" ht="15.75" x14ac:dyDescent="0.25">
      <c r="A61" s="973"/>
      <c r="B61" s="15"/>
      <c r="C61" s="445" t="s">
        <v>71</v>
      </c>
      <c r="D61" s="159"/>
      <c r="E61" s="159"/>
      <c r="F61" s="165"/>
      <c r="G61" s="967">
        <f>IF(F19=1,SUM(F54:F59),0)</f>
        <v>0</v>
      </c>
      <c r="H61" s="967"/>
      <c r="I61" s="15"/>
    </row>
    <row r="62" spans="1:18" x14ac:dyDescent="0.25">
      <c r="A62" s="973"/>
      <c r="C62" s="45"/>
      <c r="D62" s="45"/>
      <c r="E62" s="45"/>
      <c r="F62" s="154"/>
      <c r="G62" s="45"/>
      <c r="H62" s="45"/>
    </row>
    <row r="63" spans="1:18" x14ac:dyDescent="0.25">
      <c r="A63" s="973"/>
      <c r="C63" s="45"/>
      <c r="D63" s="45"/>
      <c r="E63" s="160"/>
      <c r="F63" s="158"/>
      <c r="G63" s="155"/>
      <c r="H63" s="45"/>
    </row>
    <row r="64" spans="1:18" x14ac:dyDescent="0.25">
      <c r="A64" s="973"/>
      <c r="C64" s="45"/>
      <c r="D64" s="45"/>
      <c r="E64" s="45"/>
      <c r="F64" s="154"/>
      <c r="G64" s="155"/>
      <c r="H64" s="45"/>
    </row>
    <row r="65" spans="1:9" x14ac:dyDescent="0.25">
      <c r="A65" s="973"/>
      <c r="C65" s="45"/>
      <c r="D65" s="45"/>
      <c r="E65" s="45"/>
      <c r="F65" s="158"/>
      <c r="G65" s="155"/>
      <c r="H65" s="45"/>
    </row>
    <row r="66" spans="1:9" x14ac:dyDescent="0.25">
      <c r="A66" s="973"/>
      <c r="C66" s="45"/>
      <c r="D66" s="45"/>
      <c r="E66" s="45"/>
      <c r="F66" s="45"/>
      <c r="G66" s="45"/>
      <c r="H66" s="45"/>
    </row>
    <row r="67" spans="1:9" ht="15.75" x14ac:dyDescent="0.25">
      <c r="A67" s="973"/>
      <c r="B67" s="25"/>
      <c r="C67" s="45"/>
      <c r="D67" s="45"/>
      <c r="E67" s="45"/>
      <c r="F67" s="45"/>
      <c r="G67" s="45"/>
      <c r="H67" s="45"/>
      <c r="I67" s="25"/>
    </row>
    <row r="68" spans="1:9" x14ac:dyDescent="0.25">
      <c r="A68" s="973"/>
      <c r="C68" s="161"/>
      <c r="D68" s="161"/>
      <c r="E68" s="161"/>
      <c r="F68" s="161"/>
      <c r="G68" s="161"/>
      <c r="H68" s="162"/>
    </row>
    <row r="69" spans="1:9" x14ac:dyDescent="0.25">
      <c r="C69" s="45"/>
      <c r="D69" s="45"/>
      <c r="E69" s="45"/>
      <c r="F69" s="45"/>
      <c r="G69" s="45"/>
      <c r="H69" s="45"/>
    </row>
  </sheetData>
  <mergeCells count="12">
    <mergeCell ref="G61:H61"/>
    <mergeCell ref="A1:A20"/>
    <mergeCell ref="D2:H2"/>
    <mergeCell ref="D6:F6"/>
    <mergeCell ref="G19:H19"/>
    <mergeCell ref="A21:A68"/>
    <mergeCell ref="B22:I22"/>
    <mergeCell ref="B23:I23"/>
    <mergeCell ref="B24:I24"/>
    <mergeCell ref="B25:I25"/>
    <mergeCell ref="B27:I27"/>
    <mergeCell ref="G17:H17"/>
  </mergeCells>
  <dataValidations disablePrompts="1" count="1">
    <dataValidation type="list" allowBlank="1" showInputMessage="1" showErrorMessage="1" sqref="E15:E16">
      <formula1>$L$6:$L$7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Konstante!$C$70:$C$78</xm:f>
          </x14:formula1>
          <xm:sqref>G10:G12</xm:sqref>
        </x14:dataValidation>
        <x14:dataValidation type="list" allowBlank="1" showInputMessage="1" showErrorMessage="1">
          <x14:formula1>
            <xm:f>Konstante!$AN$67:$AN$70</xm:f>
          </x14:formula1>
          <xm:sqref>D6</xm:sqref>
        </x14:dataValidation>
        <x14:dataValidation type="list" allowBlank="1" showInputMessage="1" showErrorMessage="1">
          <x14:formula1>
            <xm:f>Konstante!$AH$68:$AH$72</xm:f>
          </x14:formula1>
          <xm:sqref>D5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zoomScaleNormal="100" zoomScaleSheetLayoutView="100" workbookViewId="0">
      <selection activeCell="D5" sqref="D5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  <col min="10" max="10" width="8.7109375" style="27" customWidth="1"/>
    <col min="11" max="11" width="11.42578125" style="136"/>
    <col min="12" max="12" width="11.42578125" style="137"/>
    <col min="13" max="18" width="11.42578125" style="138"/>
  </cols>
  <sheetData>
    <row r="1" spans="1:18" ht="17.25" customHeight="1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M1" s="137"/>
      <c r="N1" s="210">
        <f ca="1">CELL("ZEILE",B27)</f>
        <v>27</v>
      </c>
    </row>
    <row r="2" spans="1:18" ht="22.5" customHeight="1" x14ac:dyDescent="0.25">
      <c r="A2" s="975"/>
      <c r="B2" s="64"/>
      <c r="C2" s="65" t="s">
        <v>36</v>
      </c>
      <c r="D2" s="995" t="s">
        <v>710</v>
      </c>
      <c r="E2" s="996"/>
      <c r="F2" s="996"/>
      <c r="G2" s="996"/>
      <c r="H2" s="997"/>
      <c r="I2" s="63"/>
      <c r="K2" s="268" t="s">
        <v>793</v>
      </c>
      <c r="L2" s="236"/>
      <c r="M2" s="236"/>
      <c r="N2" s="268">
        <f ca="1">CELL("ZEILE",G56)</f>
        <v>56</v>
      </c>
      <c r="O2" s="139"/>
      <c r="P2" s="139"/>
    </row>
    <row r="3" spans="1:18" ht="22.5" customHeight="1" x14ac:dyDescent="0.25">
      <c r="A3" s="975"/>
      <c r="B3" s="64"/>
      <c r="C3" s="89"/>
      <c r="D3" s="995" t="s">
        <v>827</v>
      </c>
      <c r="E3" s="996"/>
      <c r="F3" s="996"/>
      <c r="G3" s="996"/>
      <c r="H3" s="997"/>
      <c r="I3" s="63"/>
      <c r="K3" s="268" t="s">
        <v>794</v>
      </c>
      <c r="L3" s="236"/>
      <c r="M3" s="236"/>
      <c r="N3" s="268">
        <f>F19</f>
        <v>0</v>
      </c>
      <c r="O3" s="139"/>
      <c r="P3" s="139"/>
    </row>
    <row r="4" spans="1:18" ht="17.25" customHeight="1" x14ac:dyDescent="0.25">
      <c r="A4" s="975"/>
      <c r="B4" s="92"/>
      <c r="C4" s="19"/>
      <c r="D4" s="19"/>
      <c r="E4" s="19"/>
      <c r="F4" s="19"/>
      <c r="G4" s="19"/>
      <c r="H4" s="19"/>
      <c r="I4" s="93"/>
      <c r="K4" s="139"/>
      <c r="L4" s="139"/>
      <c r="M4" s="139"/>
      <c r="N4" s="139"/>
      <c r="O4" s="139"/>
      <c r="P4" s="139"/>
      <c r="Q4" s="139"/>
    </row>
    <row r="5" spans="1:18" ht="17.25" customHeight="1" x14ac:dyDescent="0.25">
      <c r="A5" s="975"/>
      <c r="B5" s="92"/>
      <c r="C5" s="99" t="s">
        <v>172</v>
      </c>
      <c r="D5" s="131">
        <v>0</v>
      </c>
      <c r="E5" s="19"/>
      <c r="F5" s="99" t="s">
        <v>167</v>
      </c>
      <c r="G5" s="131">
        <v>0</v>
      </c>
      <c r="H5" s="188" t="s">
        <v>164</v>
      </c>
      <c r="I5" s="93"/>
      <c r="K5" s="139"/>
      <c r="L5" s="139"/>
      <c r="M5" s="139"/>
      <c r="N5" s="139"/>
      <c r="O5" s="139"/>
      <c r="P5" s="139"/>
    </row>
    <row r="6" spans="1:18" ht="17.25" customHeight="1" x14ac:dyDescent="0.25">
      <c r="A6" s="975"/>
      <c r="B6" s="92"/>
      <c r="C6" s="16"/>
      <c r="D6" s="16"/>
      <c r="E6" s="16"/>
      <c r="F6" s="16"/>
      <c r="G6" s="19"/>
      <c r="H6" s="16"/>
      <c r="I6" s="93"/>
    </row>
    <row r="7" spans="1:18" ht="19.5" customHeight="1" x14ac:dyDescent="0.25">
      <c r="A7" s="975"/>
      <c r="B7" s="92"/>
      <c r="C7" s="16"/>
      <c r="D7" s="99" t="s">
        <v>165</v>
      </c>
      <c r="E7" s="189">
        <v>0</v>
      </c>
      <c r="F7" s="188" t="s">
        <v>166</v>
      </c>
      <c r="G7" s="19"/>
      <c r="H7" s="19"/>
      <c r="I7" s="93"/>
    </row>
    <row r="8" spans="1:18" s="2" customFormat="1" ht="20.100000000000001" customHeight="1" x14ac:dyDescent="0.25">
      <c r="A8" s="975"/>
      <c r="B8" s="92"/>
      <c r="C8" s="190"/>
      <c r="D8" s="99" t="s">
        <v>170</v>
      </c>
      <c r="E8" s="187">
        <v>0</v>
      </c>
      <c r="F8" s="188" t="s">
        <v>168</v>
      </c>
      <c r="G8" s="190"/>
      <c r="H8" s="19"/>
      <c r="I8" s="93"/>
      <c r="J8" s="28"/>
      <c r="K8" s="140"/>
      <c r="L8" s="141"/>
      <c r="M8" s="142"/>
      <c r="N8" s="98"/>
    </row>
    <row r="9" spans="1:18" s="2" customFormat="1" ht="20.100000000000001" customHeight="1" x14ac:dyDescent="0.25">
      <c r="A9" s="975"/>
      <c r="B9" s="92"/>
      <c r="C9" s="190"/>
      <c r="D9" s="99" t="s">
        <v>180</v>
      </c>
      <c r="E9" s="187">
        <v>0</v>
      </c>
      <c r="F9" s="188" t="s">
        <v>169</v>
      </c>
      <c r="G9" s="190"/>
      <c r="H9" s="19"/>
      <c r="I9" s="93"/>
      <c r="J9" s="28"/>
      <c r="K9" s="140"/>
      <c r="L9" s="141"/>
      <c r="M9" s="142"/>
      <c r="N9" s="142">
        <f>(3+6.67*$D$5+2.2*$G$5+2.94*$E$7+7.63*$E$8+2.52*$E$9)</f>
        <v>3</v>
      </c>
    </row>
    <row r="10" spans="1:18" s="2" customFormat="1" ht="20.100000000000001" customHeight="1" x14ac:dyDescent="0.25">
      <c r="A10" s="975"/>
      <c r="B10" s="92"/>
      <c r="C10" s="190"/>
      <c r="D10" s="190"/>
      <c r="E10" s="190"/>
      <c r="F10" s="190"/>
      <c r="G10" s="190"/>
      <c r="H10" s="19"/>
      <c r="I10" s="93"/>
      <c r="J10" s="28"/>
      <c r="K10" s="140"/>
      <c r="L10" s="153" t="s">
        <v>155</v>
      </c>
      <c r="M10" s="153"/>
      <c r="N10" s="142"/>
      <c r="O10" s="142"/>
      <c r="P10" s="142"/>
      <c r="Q10" s="142"/>
      <c r="R10" s="142"/>
    </row>
    <row r="11" spans="1:18" s="2" customFormat="1" ht="20.100000000000001" customHeight="1" x14ac:dyDescent="0.25">
      <c r="A11" s="975"/>
      <c r="B11" s="92"/>
      <c r="C11" s="99" t="s">
        <v>122</v>
      </c>
      <c r="D11" s="189">
        <v>0</v>
      </c>
      <c r="E11" s="19"/>
      <c r="F11" s="99" t="s">
        <v>124</v>
      </c>
      <c r="G11" s="98" t="s">
        <v>17</v>
      </c>
      <c r="H11" s="19"/>
      <c r="I11" s="93"/>
      <c r="J11" s="28"/>
      <c r="K11" s="140"/>
      <c r="L11" s="153">
        <f>VLOOKUP(G11,Konstante!AQ67:AR75,2,)</f>
        <v>1</v>
      </c>
      <c r="M11" s="153"/>
      <c r="N11" s="142">
        <f>0.48*D11*L11</f>
        <v>0</v>
      </c>
      <c r="O11" s="142"/>
      <c r="P11" s="142"/>
      <c r="Q11" s="142"/>
      <c r="R11" s="142"/>
    </row>
    <row r="12" spans="1:18" s="2" customFormat="1" ht="20.100000000000001" customHeight="1" x14ac:dyDescent="0.25">
      <c r="A12" s="975"/>
      <c r="B12" s="92"/>
      <c r="C12" s="99" t="s">
        <v>122</v>
      </c>
      <c r="D12" s="189">
        <v>0</v>
      </c>
      <c r="E12" s="19"/>
      <c r="F12" s="99" t="s">
        <v>124</v>
      </c>
      <c r="G12" s="98" t="s">
        <v>20</v>
      </c>
      <c r="H12" s="19"/>
      <c r="I12" s="93"/>
      <c r="J12" s="28"/>
      <c r="K12" s="140"/>
      <c r="L12" s="153">
        <f>VLOOKUP(G12,Konstante!AQ68:AR76,2,)</f>
        <v>1.6</v>
      </c>
      <c r="M12" s="153"/>
      <c r="N12" s="142">
        <f t="shared" ref="N12:N13" si="0">0.48*D12*L12</f>
        <v>0</v>
      </c>
      <c r="O12" s="142"/>
      <c r="P12" s="142"/>
      <c r="Q12" s="142"/>
      <c r="R12" s="142"/>
    </row>
    <row r="13" spans="1:18" s="2" customFormat="1" ht="20.100000000000001" customHeight="1" x14ac:dyDescent="0.25">
      <c r="A13" s="975"/>
      <c r="B13" s="92"/>
      <c r="C13" s="99" t="s">
        <v>122</v>
      </c>
      <c r="D13" s="703">
        <v>0</v>
      </c>
      <c r="E13" s="19"/>
      <c r="F13" s="99" t="s">
        <v>124</v>
      </c>
      <c r="G13" s="98" t="s">
        <v>23</v>
      </c>
      <c r="H13" s="190"/>
      <c r="I13" s="93"/>
      <c r="J13" s="28"/>
      <c r="K13" s="140"/>
      <c r="L13" s="153">
        <f>VLOOKUP(G13,Konstante!AQ69:AR77,2,)</f>
        <v>2.2000000000000002</v>
      </c>
      <c r="M13" s="140"/>
      <c r="N13" s="142">
        <f t="shared" si="0"/>
        <v>0</v>
      </c>
      <c r="O13" s="142"/>
      <c r="P13" s="142"/>
      <c r="Q13" s="142"/>
      <c r="R13" s="142"/>
    </row>
    <row r="14" spans="1:18" s="2" customFormat="1" ht="20.100000000000001" customHeight="1" x14ac:dyDescent="0.25">
      <c r="A14" s="975"/>
      <c r="B14" s="92"/>
      <c r="C14" s="99" t="s">
        <v>123</v>
      </c>
      <c r="D14" s="207">
        <f>SUM(D11:D13)</f>
        <v>0</v>
      </c>
      <c r="E14" s="190" t="s">
        <v>173</v>
      </c>
      <c r="F14" s="190"/>
      <c r="G14" s="190"/>
      <c r="H14" s="190"/>
      <c r="I14" s="93"/>
      <c r="J14" s="28"/>
      <c r="K14" s="140"/>
      <c r="L14" s="141"/>
      <c r="M14" s="140"/>
      <c r="N14" s="192">
        <f>($N$9+$N$11+$N$12+$N$13)*$K$16*Gesamt!$E$14</f>
        <v>189.79200000000003</v>
      </c>
      <c r="O14" s="142"/>
      <c r="P14" s="142"/>
      <c r="Q14" s="142"/>
      <c r="R14" s="142"/>
    </row>
    <row r="15" spans="1:18" s="2" customFormat="1" ht="20.100000000000001" customHeight="1" x14ac:dyDescent="0.25">
      <c r="A15" s="975"/>
      <c r="B15" s="92"/>
      <c r="C15" s="19"/>
      <c r="D15" s="190"/>
      <c r="E15" s="190"/>
      <c r="F15" s="190"/>
      <c r="G15" s="19"/>
      <c r="H15" s="19"/>
      <c r="I15" s="93"/>
      <c r="J15" s="28"/>
      <c r="K15" s="140"/>
      <c r="L15" s="141"/>
      <c r="M15" s="140"/>
      <c r="N15" s="192">
        <f>E17</f>
        <v>0</v>
      </c>
      <c r="O15" s="142"/>
      <c r="P15" s="142"/>
      <c r="Q15" s="142"/>
      <c r="R15" s="142"/>
    </row>
    <row r="16" spans="1:18" s="2" customFormat="1" ht="20.100000000000001" customHeight="1" x14ac:dyDescent="0.25">
      <c r="A16" s="975"/>
      <c r="B16" s="92"/>
      <c r="C16" s="19"/>
      <c r="D16" s="99" t="s">
        <v>171</v>
      </c>
      <c r="E16" s="1047" t="s">
        <v>177</v>
      </c>
      <c r="F16" s="1047"/>
      <c r="G16" s="1047"/>
      <c r="H16" s="1047"/>
      <c r="I16" s="93"/>
      <c r="J16" s="28"/>
      <c r="K16" s="140">
        <f>VLOOKUP(E16,Konstante!AT67:AU69,2,FALSE)</f>
        <v>0.8</v>
      </c>
      <c r="L16" s="144"/>
      <c r="M16" s="140"/>
      <c r="N16" s="192">
        <f>N14+N15</f>
        <v>189.79200000000003</v>
      </c>
      <c r="O16" s="142"/>
      <c r="P16" s="142"/>
      <c r="Q16" s="142"/>
      <c r="R16" s="142"/>
    </row>
    <row r="17" spans="1:18" s="2" customFormat="1" ht="20.100000000000001" customHeight="1" x14ac:dyDescent="0.25">
      <c r="A17" s="975"/>
      <c r="B17" s="92"/>
      <c r="C17" s="19"/>
      <c r="D17" s="99" t="s">
        <v>705</v>
      </c>
      <c r="E17" s="707">
        <v>0</v>
      </c>
      <c r="F17" s="19"/>
      <c r="G17" s="190"/>
      <c r="H17" s="190"/>
      <c r="I17" s="93"/>
      <c r="J17" s="28"/>
      <c r="K17" s="140"/>
      <c r="L17" s="144"/>
      <c r="M17" s="140"/>
      <c r="N17" s="143"/>
      <c r="O17" s="142"/>
      <c r="P17" s="142"/>
      <c r="Q17" s="142"/>
      <c r="R17" s="142"/>
    </row>
    <row r="18" spans="1:18" s="2" customFormat="1" ht="20.100000000000001" customHeight="1" x14ac:dyDescent="0.25">
      <c r="A18" s="975"/>
      <c r="B18" s="94"/>
      <c r="C18" s="95"/>
      <c r="D18" s="95"/>
      <c r="E18" s="95"/>
      <c r="F18" s="95"/>
      <c r="G18" s="95"/>
      <c r="H18" s="95"/>
      <c r="I18" s="96"/>
      <c r="J18" s="28"/>
      <c r="K18" s="140"/>
      <c r="L18" s="144"/>
      <c r="M18" s="140"/>
      <c r="N18" s="143"/>
      <c r="O18" s="142"/>
      <c r="P18" s="142"/>
      <c r="Q18" s="142"/>
      <c r="R18" s="142"/>
    </row>
    <row r="19" spans="1:18" ht="19.5" customHeight="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7">
        <f>IF(OR(D5&lt;0.01,AND(D11&lt;0.01,D12&lt;0.01,D13&lt;0.01)),0,1)</f>
        <v>0</v>
      </c>
      <c r="G19" s="999" t="str">
        <f>IF(F19&lt;&gt;0, N16,"")</f>
        <v/>
      </c>
      <c r="H19" s="999"/>
      <c r="I19" s="63"/>
      <c r="M19" s="136"/>
    </row>
    <row r="20" spans="1:18" ht="19.5" customHeight="1" x14ac:dyDescent="0.25">
      <c r="A20" s="975"/>
      <c r="B20" s="63"/>
      <c r="C20" s="63"/>
      <c r="D20" s="63"/>
      <c r="E20" s="63"/>
      <c r="F20" s="63"/>
      <c r="G20" s="63"/>
      <c r="H20" s="63"/>
      <c r="I20" s="63"/>
    </row>
    <row r="21" spans="1:18" x14ac:dyDescent="0.25">
      <c r="A21" s="973" t="s">
        <v>72</v>
      </c>
    </row>
    <row r="22" spans="1:18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8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8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8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8" x14ac:dyDescent="0.25">
      <c r="A26" s="973"/>
    </row>
    <row r="27" spans="1:18" s="82" customFormat="1" ht="23.25" customHeight="1" x14ac:dyDescent="0.25">
      <c r="A27" s="973"/>
      <c r="B27" s="968" t="str">
        <f>CONCATENATE(D2," ",D3)</f>
        <v>3d-PLANERSTELLUNG auf Basis eines 2,5d-LH-Planes</v>
      </c>
      <c r="C27" s="994"/>
      <c r="D27" s="994"/>
      <c r="E27" s="994"/>
      <c r="F27" s="994"/>
      <c r="G27" s="994"/>
      <c r="H27" s="994"/>
      <c r="I27" s="994"/>
      <c r="J27" s="29"/>
      <c r="K27" s="145"/>
      <c r="L27" s="146"/>
      <c r="M27" s="147"/>
      <c r="N27" s="147"/>
      <c r="O27" s="147"/>
      <c r="P27" s="147"/>
      <c r="Q27" s="147"/>
      <c r="R27" s="147"/>
    </row>
    <row r="28" spans="1:18" x14ac:dyDescent="0.25">
      <c r="A28" s="973"/>
      <c r="C28" s="45"/>
      <c r="D28" s="45"/>
      <c r="E28" s="45"/>
      <c r="F28" s="45"/>
      <c r="G28" s="45"/>
      <c r="H28" s="45"/>
    </row>
    <row r="29" spans="1:18" x14ac:dyDescent="0.25">
      <c r="A29" s="973"/>
      <c r="C29" s="45" t="s">
        <v>781</v>
      </c>
      <c r="D29" s="45"/>
      <c r="E29" s="45"/>
      <c r="F29" s="45"/>
      <c r="G29" s="45"/>
      <c r="H29" s="45"/>
    </row>
    <row r="30" spans="1:18" x14ac:dyDescent="0.25">
      <c r="A30" s="973"/>
      <c r="C30" s="45"/>
      <c r="D30" s="45"/>
      <c r="E30" s="45"/>
      <c r="F30" s="45"/>
      <c r="G30" s="45"/>
      <c r="H30" s="45"/>
    </row>
    <row r="31" spans="1:18" x14ac:dyDescent="0.25">
      <c r="A31" s="973"/>
      <c r="C31" s="45" t="s">
        <v>46</v>
      </c>
      <c r="D31" s="45"/>
      <c r="E31" s="367">
        <f>Gesamt!E14</f>
        <v>79.08</v>
      </c>
      <c r="F31" s="45"/>
      <c r="G31" s="45"/>
      <c r="H31" s="45"/>
    </row>
    <row r="32" spans="1:18" x14ac:dyDescent="0.25">
      <c r="A32" s="973"/>
      <c r="B32" s="425"/>
      <c r="C32" s="473"/>
      <c r="D32" s="473"/>
      <c r="E32" s="367"/>
      <c r="F32" s="473"/>
      <c r="G32" s="473"/>
      <c r="H32" s="473"/>
      <c r="I32" s="425"/>
    </row>
    <row r="33" spans="1:18" x14ac:dyDescent="0.25">
      <c r="A33" s="973"/>
      <c r="B33" s="425"/>
      <c r="C33" s="899" t="s">
        <v>859</v>
      </c>
      <c r="D33" s="473"/>
      <c r="E33" s="367"/>
      <c r="F33" s="473"/>
      <c r="G33" s="473"/>
      <c r="H33" s="473"/>
      <c r="I33" s="425"/>
    </row>
    <row r="34" spans="1:18" x14ac:dyDescent="0.25">
      <c r="A34" s="973"/>
      <c r="C34" s="45"/>
      <c r="D34" s="45"/>
      <c r="E34" s="155"/>
      <c r="F34" s="45"/>
      <c r="G34" s="45"/>
      <c r="H34" s="45"/>
    </row>
    <row r="35" spans="1:18" x14ac:dyDescent="0.25">
      <c r="A35" s="973"/>
      <c r="C35" s="155" t="s">
        <v>160</v>
      </c>
      <c r="D35" s="45"/>
      <c r="E35" s="199">
        <f>D5</f>
        <v>0</v>
      </c>
      <c r="F35" s="45"/>
      <c r="G35" s="155"/>
      <c r="H35" s="45"/>
    </row>
    <row r="36" spans="1:18" x14ac:dyDescent="0.25">
      <c r="A36" s="973"/>
      <c r="C36" s="155" t="str">
        <f>IF(G5&gt;0,"zus. Fahrstreifen:","")</f>
        <v/>
      </c>
      <c r="D36" s="45"/>
      <c r="E36" s="199" t="str">
        <f>IF(G5&gt;0,G5,"")</f>
        <v/>
      </c>
      <c r="F36" s="193" t="str">
        <f>IF(G5&gt;0,"(ab dem 3.ten Fahrstreifen bzw. Gleis)","")</f>
        <v/>
      </c>
      <c r="G36" s="45"/>
      <c r="H36" s="45"/>
    </row>
    <row r="37" spans="1:18" x14ac:dyDescent="0.25">
      <c r="A37" s="973"/>
      <c r="C37" s="135" t="str">
        <f>IF(E7&gt;0,"längenbezogene Objekte:","")</f>
        <v/>
      </c>
      <c r="D37" s="45"/>
      <c r="E37" s="199" t="str">
        <f>IF(E7&gt;0,E7,"")</f>
        <v/>
      </c>
      <c r="F37" s="193" t="str">
        <f>IF(E7&gt;0,"(Lärmschutzwände, Stützmauern...)","")</f>
        <v/>
      </c>
      <c r="G37" s="45"/>
      <c r="H37" s="45"/>
    </row>
    <row r="38" spans="1:18" x14ac:dyDescent="0.25">
      <c r="A38" s="973"/>
      <c r="B38" s="22"/>
      <c r="C38" s="156"/>
      <c r="D38" s="156"/>
      <c r="E38" s="157"/>
      <c r="F38" s="156"/>
      <c r="G38" s="156"/>
      <c r="H38" s="156"/>
      <c r="I38" s="22"/>
    </row>
    <row r="39" spans="1:18" x14ac:dyDescent="0.25">
      <c r="A39" s="973"/>
      <c r="B39" s="22"/>
      <c r="C39" s="45" t="str">
        <f>IF(E8&gt;0,"Anzahl der Kreuzungen:","")</f>
        <v/>
      </c>
      <c r="E39" s="155" t="str">
        <f>IF(E8&gt;0,E8,"")</f>
        <v/>
      </c>
      <c r="F39" s="198" t="str">
        <f>IF(E8&gt;0,"(Brücken, Unterführungen, Durchlässe)","")</f>
        <v/>
      </c>
      <c r="G39" s="45"/>
      <c r="H39" s="45"/>
      <c r="I39" s="22"/>
    </row>
    <row r="40" spans="1:18" x14ac:dyDescent="0.25">
      <c r="A40" s="973"/>
      <c r="C40" s="45" t="str">
        <f>IF(E9&gt;0,"Überlänge oder Überbreite:","")</f>
        <v/>
      </c>
      <c r="D40" s="45"/>
      <c r="E40" s="200" t="str">
        <f>IF(E9&gt;0,E9,"")</f>
        <v/>
      </c>
      <c r="F40" s="193" t="str">
        <f>IF(E9&gt;0,"(pro zusätzlichen Fahrstreifen oder pro 30m Brückenlänge)","")</f>
        <v/>
      </c>
      <c r="G40" s="45"/>
      <c r="H40" s="45"/>
      <c r="J40" s="30"/>
    </row>
    <row r="41" spans="1:18" x14ac:dyDescent="0.25">
      <c r="A41" s="973"/>
      <c r="C41" s="45"/>
      <c r="D41" s="45"/>
      <c r="E41" s="45"/>
      <c r="F41" s="45"/>
      <c r="G41" s="45"/>
      <c r="H41" s="45"/>
      <c r="J41" s="30"/>
    </row>
    <row r="42" spans="1:18" x14ac:dyDescent="0.25">
      <c r="A42" s="973"/>
      <c r="C42" s="80" t="s">
        <v>162</v>
      </c>
      <c r="D42" s="80"/>
      <c r="E42" s="81" t="s">
        <v>163</v>
      </c>
      <c r="F42" s="80"/>
      <c r="G42" s="80"/>
      <c r="H42" s="80"/>
      <c r="J42" s="30"/>
    </row>
    <row r="43" spans="1:18" x14ac:dyDescent="0.25">
      <c r="A43" s="973"/>
      <c r="C43" s="154" t="str">
        <f>IF(D11&gt;0,"A1=","")</f>
        <v/>
      </c>
      <c r="D43" s="173" t="str">
        <f>IF(D11&gt;0,D11,"")</f>
        <v/>
      </c>
      <c r="E43" s="174" t="str">
        <f>IF(D11&gt;0,G11,"")</f>
        <v/>
      </c>
      <c r="F43" s="175"/>
      <c r="G43" s="154"/>
      <c r="H43" s="155"/>
      <c r="J43" s="30"/>
    </row>
    <row r="44" spans="1:18" x14ac:dyDescent="0.25">
      <c r="A44" s="973"/>
      <c r="C44" s="154" t="str">
        <f>IF(D12&gt;0,"A2=","")</f>
        <v/>
      </c>
      <c r="D44" s="173" t="str">
        <f>IF(D12&gt;0,D12,"")</f>
        <v/>
      </c>
      <c r="E44" s="174" t="str">
        <f>IF(D12&gt;0,G12,"")</f>
        <v/>
      </c>
      <c r="F44" s="175"/>
      <c r="G44" s="154"/>
      <c r="H44" s="155"/>
    </row>
    <row r="45" spans="1:18" x14ac:dyDescent="0.25">
      <c r="A45" s="973"/>
      <c r="C45" s="176" t="str">
        <f>IF(D13&gt;0,"A3=","")</f>
        <v/>
      </c>
      <c r="D45" s="177" t="str">
        <f>IF(D13&gt;0,D13,"")</f>
        <v/>
      </c>
      <c r="E45" s="174" t="str">
        <f>IF(D13&gt;0,G13,"")</f>
        <v/>
      </c>
      <c r="F45" s="178"/>
      <c r="G45" s="176"/>
      <c r="H45" s="179"/>
      <c r="K45" s="171"/>
    </row>
    <row r="46" spans="1:18" x14ac:dyDescent="0.25">
      <c r="A46" s="973"/>
      <c r="C46" s="180" t="s">
        <v>161</v>
      </c>
      <c r="D46" s="181">
        <f>SUM(D43:D45)</f>
        <v>0</v>
      </c>
      <c r="E46" s="182"/>
      <c r="F46" s="183"/>
      <c r="G46" s="184"/>
      <c r="H46" s="164"/>
      <c r="K46" s="171"/>
    </row>
    <row r="47" spans="1:18" s="3" customFormat="1" x14ac:dyDescent="0.25">
      <c r="A47" s="973"/>
      <c r="B47"/>
      <c r="C47" s="45"/>
      <c r="D47" s="42"/>
      <c r="E47" s="185"/>
      <c r="F47" s="186"/>
      <c r="G47" s="42"/>
      <c r="H47" s="45"/>
      <c r="I47"/>
      <c r="J47" s="33"/>
      <c r="K47" s="172"/>
      <c r="L47" s="148"/>
      <c r="M47" s="149"/>
      <c r="N47" s="149"/>
      <c r="O47" s="149"/>
      <c r="P47" s="149"/>
      <c r="Q47" s="149"/>
      <c r="R47" s="149"/>
    </row>
    <row r="48" spans="1:18" x14ac:dyDescent="0.25">
      <c r="A48" s="973"/>
      <c r="C48" s="45"/>
      <c r="D48" s="45"/>
      <c r="E48" s="45"/>
      <c r="F48" s="45"/>
      <c r="G48" s="45"/>
      <c r="H48" s="45"/>
      <c r="K48" s="171"/>
    </row>
    <row r="49" spans="1:18" x14ac:dyDescent="0.25">
      <c r="A49" s="973"/>
      <c r="B49" s="3"/>
      <c r="C49" s="155" t="s">
        <v>171</v>
      </c>
      <c r="D49" s="45"/>
      <c r="E49" s="45" t="str">
        <f>E16</f>
        <v>gleichzeitige Beauftragung der 2,5d Aufnahme</v>
      </c>
      <c r="F49" s="3"/>
      <c r="G49" s="45"/>
      <c r="H49" s="45"/>
      <c r="I49" s="3"/>
    </row>
    <row r="50" spans="1:18" x14ac:dyDescent="0.25">
      <c r="A50" s="973"/>
      <c r="C50" s="45"/>
      <c r="D50" s="45"/>
      <c r="E50" s="45"/>
      <c r="F50" s="170"/>
      <c r="G50" s="45"/>
      <c r="H50" s="45"/>
    </row>
    <row r="51" spans="1:18" x14ac:dyDescent="0.25">
      <c r="A51" s="973"/>
      <c r="G51" s="45"/>
      <c r="H51" s="45"/>
    </row>
    <row r="52" spans="1:18" x14ac:dyDescent="0.25">
      <c r="A52" s="973"/>
      <c r="C52" s="45" t="s">
        <v>64</v>
      </c>
      <c r="D52" s="45"/>
      <c r="E52" s="45"/>
      <c r="F52" s="170">
        <f>IF(F19&lt;&gt;0,ROUND(N14,2),0)</f>
        <v>0</v>
      </c>
      <c r="G52" s="45"/>
      <c r="H52" s="45"/>
    </row>
    <row r="53" spans="1:18" x14ac:dyDescent="0.25">
      <c r="A53" s="973"/>
      <c r="C53" s="135" t="str">
        <f>IF(E17&gt;0,"Nebenkosten:","")</f>
        <v/>
      </c>
      <c r="D53" s="45"/>
      <c r="E53" s="154"/>
      <c r="F53" s="170" t="str">
        <f>IF(E17&gt;0,E17,"")</f>
        <v/>
      </c>
      <c r="G53" s="45"/>
      <c r="H53" s="45"/>
    </row>
    <row r="54" spans="1:18" s="15" customFormat="1" ht="15.75" x14ac:dyDescent="0.25">
      <c r="A54" s="973"/>
      <c r="B54"/>
      <c r="C54" s="135"/>
      <c r="D54" s="45"/>
      <c r="E54" s="154"/>
      <c r="F54" s="170"/>
      <c r="G54" s="45"/>
      <c r="H54" s="45"/>
      <c r="I54"/>
      <c r="J54" s="166"/>
      <c r="K54" s="167"/>
      <c r="L54" s="168"/>
      <c r="M54" s="169"/>
      <c r="N54" s="169"/>
      <c r="O54" s="169"/>
      <c r="P54" s="169"/>
      <c r="Q54" s="169"/>
      <c r="R54" s="169"/>
    </row>
    <row r="55" spans="1:18" x14ac:dyDescent="0.25">
      <c r="A55" s="973"/>
      <c r="C55" s="164"/>
      <c r="D55" s="164"/>
      <c r="E55" s="164"/>
      <c r="F55" s="164"/>
      <c r="G55" s="164"/>
      <c r="H55" s="164"/>
    </row>
    <row r="56" spans="1:18" ht="15.75" x14ac:dyDescent="0.25">
      <c r="A56" s="973"/>
      <c r="B56" s="15"/>
      <c r="C56" s="445" t="s">
        <v>71</v>
      </c>
      <c r="D56" s="159"/>
      <c r="E56" s="159"/>
      <c r="F56" s="165"/>
      <c r="G56" s="967">
        <f>IF(F19,SUM(F50:F54),0)</f>
        <v>0</v>
      </c>
      <c r="H56" s="967"/>
      <c r="I56" s="15"/>
    </row>
    <row r="57" spans="1:18" x14ac:dyDescent="0.25">
      <c r="A57" s="973"/>
      <c r="C57" s="45"/>
      <c r="D57" s="45"/>
      <c r="E57" s="45"/>
      <c r="F57" s="154"/>
      <c r="G57" s="45"/>
      <c r="H57" s="45"/>
    </row>
    <row r="58" spans="1:18" x14ac:dyDescent="0.25">
      <c r="A58" s="973"/>
      <c r="C58" s="45"/>
      <c r="D58" s="45"/>
      <c r="E58" s="160"/>
      <c r="F58" s="158"/>
      <c r="G58" s="155"/>
      <c r="H58" s="45"/>
    </row>
    <row r="59" spans="1:18" x14ac:dyDescent="0.25">
      <c r="A59" s="973"/>
      <c r="C59" s="45"/>
      <c r="D59" s="45"/>
      <c r="E59" s="45"/>
      <c r="F59" s="154"/>
      <c r="G59" s="155"/>
      <c r="H59" s="45"/>
    </row>
    <row r="60" spans="1:18" s="25" customFormat="1" ht="15.75" x14ac:dyDescent="0.25">
      <c r="A60" s="973"/>
      <c r="B60"/>
      <c r="C60" s="45"/>
      <c r="D60" s="45"/>
      <c r="E60" s="45"/>
      <c r="F60" s="158"/>
      <c r="G60" s="155"/>
      <c r="H60" s="45"/>
      <c r="I60"/>
      <c r="J60" s="31"/>
      <c r="K60" s="150"/>
      <c r="L60" s="151"/>
      <c r="M60" s="152"/>
      <c r="N60" s="152"/>
      <c r="O60" s="152"/>
      <c r="P60" s="152"/>
      <c r="Q60" s="152"/>
      <c r="R60" s="152"/>
    </row>
    <row r="61" spans="1:18" x14ac:dyDescent="0.25">
      <c r="A61" s="973"/>
      <c r="C61" s="45"/>
      <c r="D61" s="45"/>
      <c r="E61" s="45"/>
      <c r="F61" s="45"/>
      <c r="G61" s="45"/>
      <c r="H61" s="45"/>
    </row>
    <row r="62" spans="1:18" ht="15.75" x14ac:dyDescent="0.25">
      <c r="A62" s="973"/>
      <c r="B62" s="25"/>
      <c r="C62" s="45"/>
      <c r="D62" s="45"/>
      <c r="E62" s="45"/>
      <c r="F62" s="45"/>
      <c r="G62" s="45"/>
      <c r="H62" s="45"/>
      <c r="I62" s="25"/>
    </row>
    <row r="63" spans="1:18" x14ac:dyDescent="0.25">
      <c r="A63" s="973"/>
      <c r="C63" s="161"/>
      <c r="D63" s="161"/>
      <c r="E63" s="161"/>
      <c r="F63" s="161"/>
      <c r="G63" s="161"/>
      <c r="H63" s="162"/>
    </row>
    <row r="64" spans="1:18" x14ac:dyDescent="0.25">
      <c r="A64" s="973"/>
      <c r="C64" s="45"/>
      <c r="D64" s="45"/>
      <c r="E64" s="45"/>
      <c r="F64" s="45"/>
      <c r="G64" s="45"/>
      <c r="H64" s="45"/>
    </row>
    <row r="65" spans="1:1" x14ac:dyDescent="0.25">
      <c r="A65" s="973"/>
    </row>
    <row r="66" spans="1:1" x14ac:dyDescent="0.25">
      <c r="A66" s="973"/>
    </row>
    <row r="67" spans="1:1" x14ac:dyDescent="0.25">
      <c r="A67" s="973"/>
    </row>
    <row r="68" spans="1:1" x14ac:dyDescent="0.25">
      <c r="A68" s="973"/>
    </row>
  </sheetData>
  <mergeCells count="12">
    <mergeCell ref="A1:A20"/>
    <mergeCell ref="D2:H2"/>
    <mergeCell ref="G19:H19"/>
    <mergeCell ref="D3:H3"/>
    <mergeCell ref="E16:H16"/>
    <mergeCell ref="G56:H56"/>
    <mergeCell ref="A21:A68"/>
    <mergeCell ref="B22:I22"/>
    <mergeCell ref="B23:I23"/>
    <mergeCell ref="B24:I24"/>
    <mergeCell ref="B25:I25"/>
    <mergeCell ref="B27:I27"/>
  </mergeCell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Konstante!$AT$67:$AT$69</xm:f>
          </x14:formula1>
          <xm:sqref>E16</xm:sqref>
        </x14:dataValidation>
        <x14:dataValidation type="list" allowBlank="1" showInputMessage="1" showErrorMessage="1">
          <x14:formula1>
            <xm:f>Konstante!$AQ$67:$AQ$75</xm:f>
          </x14:formula1>
          <xm:sqref>G11:G13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zoomScaleSheetLayoutView="100" workbookViewId="0">
      <selection activeCell="D7" sqref="D7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  <col min="10" max="10" width="8.7109375" style="27" customWidth="1"/>
    <col min="11" max="11" width="11.42578125" style="136"/>
    <col min="12" max="13" width="11.42578125" style="137"/>
    <col min="14" max="18" width="11.42578125" style="138"/>
  </cols>
  <sheetData>
    <row r="1" spans="1:19" ht="17.25" customHeight="1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N1" s="210">
        <f ca="1">CELL("ZEILE",B27)</f>
        <v>27</v>
      </c>
    </row>
    <row r="2" spans="1:19" ht="22.5" customHeight="1" x14ac:dyDescent="0.25">
      <c r="A2" s="975"/>
      <c r="B2" s="64"/>
      <c r="C2" s="65" t="s">
        <v>36</v>
      </c>
      <c r="D2" s="1051" t="s">
        <v>711</v>
      </c>
      <c r="E2" s="1052"/>
      <c r="F2" s="1052"/>
      <c r="G2" s="1052"/>
      <c r="H2" s="1053"/>
      <c r="I2" s="63"/>
      <c r="K2" s="268" t="s">
        <v>793</v>
      </c>
      <c r="L2" s="236"/>
      <c r="M2" s="236"/>
      <c r="N2" s="268">
        <f ca="1">CELL("ZEILE",G53)</f>
        <v>53</v>
      </c>
      <c r="O2" s="139"/>
      <c r="P2" s="139"/>
    </row>
    <row r="3" spans="1:19" ht="22.5" customHeight="1" x14ac:dyDescent="0.25">
      <c r="A3" s="975"/>
      <c r="B3" s="64"/>
      <c r="C3" s="89"/>
      <c r="D3" s="1048" t="s">
        <v>186</v>
      </c>
      <c r="E3" s="1049"/>
      <c r="F3" s="1049"/>
      <c r="G3" s="1049"/>
      <c r="H3" s="1050"/>
      <c r="I3" s="63"/>
      <c r="K3" s="268" t="s">
        <v>794</v>
      </c>
      <c r="L3" s="236"/>
      <c r="M3" s="236"/>
      <c r="N3" s="268">
        <f>F19</f>
        <v>0</v>
      </c>
      <c r="O3" s="139"/>
      <c r="P3" s="139"/>
    </row>
    <row r="4" spans="1:19" ht="17.25" customHeight="1" x14ac:dyDescent="0.25">
      <c r="A4" s="975"/>
      <c r="B4" s="64"/>
      <c r="C4" s="92"/>
      <c r="D4" s="19"/>
      <c r="E4" s="19"/>
      <c r="F4" s="19"/>
      <c r="G4" s="19"/>
      <c r="H4" s="93"/>
      <c r="I4" s="63"/>
      <c r="K4" s="139"/>
      <c r="L4" s="208"/>
      <c r="M4" s="208"/>
      <c r="N4" s="139"/>
      <c r="O4" s="139"/>
      <c r="P4" s="139"/>
      <c r="Q4" s="139"/>
      <c r="R4" s="210"/>
      <c r="S4" s="7"/>
    </row>
    <row r="5" spans="1:19" ht="17.25" customHeight="1" x14ac:dyDescent="0.25">
      <c r="A5" s="975"/>
      <c r="B5" s="64"/>
      <c r="C5" s="97" t="s">
        <v>185</v>
      </c>
      <c r="D5" s="187" t="s">
        <v>9</v>
      </c>
      <c r="E5" s="18"/>
      <c r="F5" s="18"/>
      <c r="G5" s="18"/>
      <c r="H5" s="202"/>
      <c r="I5" s="63"/>
      <c r="K5" s="139"/>
      <c r="L5" s="208"/>
      <c r="M5" s="208"/>
      <c r="N5" s="139"/>
      <c r="O5" s="139"/>
      <c r="P5" s="139"/>
      <c r="Q5" s="210"/>
      <c r="R5" s="210"/>
      <c r="S5" s="7"/>
    </row>
    <row r="6" spans="1:19" ht="17.25" customHeight="1" x14ac:dyDescent="0.25">
      <c r="A6" s="975"/>
      <c r="B6" s="64"/>
      <c r="C6" s="201"/>
      <c r="D6" s="18"/>
      <c r="E6" s="13"/>
      <c r="F6" s="18"/>
      <c r="G6" s="18"/>
      <c r="H6" s="202"/>
      <c r="I6" s="63"/>
      <c r="K6" s="210"/>
      <c r="L6" s="137" t="s">
        <v>133</v>
      </c>
      <c r="M6" s="137" t="s">
        <v>156</v>
      </c>
      <c r="N6" s="210"/>
      <c r="O6" s="210"/>
      <c r="P6" s="210"/>
      <c r="Q6" s="210"/>
      <c r="R6" s="210"/>
      <c r="S6" s="7"/>
    </row>
    <row r="7" spans="1:19" ht="19.5" customHeight="1" x14ac:dyDescent="0.25">
      <c r="A7" s="975"/>
      <c r="B7" s="64"/>
      <c r="C7" s="97" t="s">
        <v>122</v>
      </c>
      <c r="D7" s="189">
        <v>0</v>
      </c>
      <c r="E7" s="18"/>
      <c r="F7" s="99" t="s">
        <v>124</v>
      </c>
      <c r="G7" s="100" t="s">
        <v>17</v>
      </c>
      <c r="H7" s="202"/>
      <c r="I7" s="63"/>
      <c r="K7" s="210"/>
      <c r="L7" s="209">
        <f ca="1">VLOOKUP($G7,INDIRECT(VLOOKUP($D$5,Konstante!$AH$68:$AL$72,2,FALSE)),VLOOKUP($D7,Konstante!$AH$75:$AI$78,2,TRUE))</f>
        <v>-10.74</v>
      </c>
      <c r="M7" s="209">
        <f ca="1">VLOOKUP($G7,INDIRECT(VLOOKUP($D$5,Konstante!$AH$68:$AL$72,4,FALSE)),VLOOKUP($D7,Konstante!$AH$75:$AI$78,2,TRUE))</f>
        <v>23.7</v>
      </c>
      <c r="N7" s="210">
        <f ca="1">D7*(L7*D7+M7)*$K$13*Gesamt!$E$14*$K$12</f>
        <v>0</v>
      </c>
      <c r="O7" s="210"/>
      <c r="P7" s="210"/>
      <c r="Q7" s="210"/>
      <c r="R7" s="210"/>
      <c r="S7" s="7"/>
    </row>
    <row r="8" spans="1:19" s="2" customFormat="1" ht="20.100000000000001" customHeight="1" x14ac:dyDescent="0.25">
      <c r="A8" s="975"/>
      <c r="B8" s="64"/>
      <c r="C8" s="97" t="s">
        <v>122</v>
      </c>
      <c r="D8" s="189">
        <v>0</v>
      </c>
      <c r="E8" s="18"/>
      <c r="F8" s="99" t="s">
        <v>124</v>
      </c>
      <c r="G8" s="100" t="s">
        <v>20</v>
      </c>
      <c r="H8" s="202"/>
      <c r="I8" s="65"/>
      <c r="J8" s="28"/>
      <c r="K8" s="142"/>
      <c r="L8" s="209">
        <f ca="1">VLOOKUP($G8,INDIRECT(VLOOKUP($D$5,Konstante!$AH$68:$AL$72,2,FALSE)),VLOOKUP($D8,Konstante!$AH$75:$AI$78,2,TRUE))</f>
        <v>-12.26</v>
      </c>
      <c r="M8" s="209">
        <f ca="1">VLOOKUP($G8,INDIRECT(VLOOKUP($D$5,Konstante!$AH$68:$AL$72,4,FALSE)),VLOOKUP($D8,Konstante!$AH$75:$AI$78,2,TRUE))</f>
        <v>27.06</v>
      </c>
      <c r="N8" s="210">
        <f ca="1">D8*(L8*D8+M8)*$K$13*Gesamt!$E$14*$K$12</f>
        <v>0</v>
      </c>
      <c r="O8" s="142"/>
      <c r="P8" s="142"/>
      <c r="Q8" s="142"/>
      <c r="R8" s="142"/>
    </row>
    <row r="9" spans="1:19" s="2" customFormat="1" ht="20.100000000000001" customHeight="1" x14ac:dyDescent="0.25">
      <c r="A9" s="975"/>
      <c r="B9" s="64"/>
      <c r="C9" s="97" t="s">
        <v>122</v>
      </c>
      <c r="D9" s="704">
        <v>0</v>
      </c>
      <c r="E9" s="18"/>
      <c r="F9" s="99" t="s">
        <v>124</v>
      </c>
      <c r="G9" s="100" t="s">
        <v>23</v>
      </c>
      <c r="H9" s="202"/>
      <c r="I9" s="64"/>
      <c r="J9" s="28"/>
      <c r="K9" s="142"/>
      <c r="L9" s="209">
        <f ca="1">VLOOKUP($G9,INDIRECT(VLOOKUP($D$5,Konstante!$AH$68:$AL$72,2,FALSE)),VLOOKUP($D9,Konstante!$AH$75:$AI$78,2,TRUE))</f>
        <v>-16.7</v>
      </c>
      <c r="M9" s="209">
        <f ca="1">VLOOKUP($G9,INDIRECT(VLOOKUP($D$5,Konstante!$AH$68:$AL$72,4,FALSE)),VLOOKUP($D9,Konstante!$AH$75:$AI$78,2,TRUE))</f>
        <v>36.869999999999997</v>
      </c>
      <c r="N9" s="210">
        <f ca="1">D9*(L9*D9+M9)*$K$13*Gesamt!$E$14*$K$12</f>
        <v>0</v>
      </c>
      <c r="O9" s="142"/>
      <c r="P9" s="142"/>
      <c r="Q9" s="142"/>
      <c r="R9" s="142"/>
    </row>
    <row r="10" spans="1:19" s="2" customFormat="1" ht="20.100000000000001" customHeight="1" x14ac:dyDescent="0.25">
      <c r="A10" s="975"/>
      <c r="B10" s="64"/>
      <c r="C10" s="97" t="s">
        <v>123</v>
      </c>
      <c r="D10" s="207">
        <f>SUM(D7:D9)</f>
        <v>0</v>
      </c>
      <c r="E10" s="19" t="s">
        <v>173</v>
      </c>
      <c r="F10" s="18"/>
      <c r="G10" s="18"/>
      <c r="H10" s="202"/>
      <c r="I10" s="64"/>
      <c r="J10" s="28"/>
      <c r="K10" s="142"/>
      <c r="L10" s="209"/>
      <c r="M10" s="209"/>
      <c r="N10" s="142">
        <f ca="1">SUM(N7:N9)</f>
        <v>0</v>
      </c>
      <c r="O10" s="142"/>
      <c r="P10" s="142"/>
      <c r="Q10" s="142"/>
      <c r="R10" s="142"/>
    </row>
    <row r="11" spans="1:19" s="2" customFormat="1" ht="20.100000000000001" customHeight="1" x14ac:dyDescent="0.25">
      <c r="A11" s="975"/>
      <c r="B11" s="64"/>
      <c r="C11" s="10"/>
      <c r="D11" s="18"/>
      <c r="E11" s="18"/>
      <c r="F11" s="18"/>
      <c r="G11" s="18"/>
      <c r="H11" s="202"/>
      <c r="I11" s="64"/>
      <c r="J11" s="28"/>
      <c r="K11" s="142"/>
      <c r="L11" s="209"/>
      <c r="M11" s="209"/>
      <c r="N11" s="142"/>
      <c r="O11" s="142"/>
      <c r="P11" s="142"/>
      <c r="Q11" s="142"/>
      <c r="R11" s="142"/>
    </row>
    <row r="12" spans="1:19" s="2" customFormat="1" ht="20.100000000000001" customHeight="1" x14ac:dyDescent="0.25">
      <c r="A12" s="975"/>
      <c r="B12" s="64"/>
      <c r="C12" s="97" t="s">
        <v>188</v>
      </c>
      <c r="D12" s="206" t="s">
        <v>183</v>
      </c>
      <c r="E12" s="19"/>
      <c r="F12" s="18"/>
      <c r="G12" s="18"/>
      <c r="H12" s="202"/>
      <c r="I12" s="65"/>
      <c r="J12" s="28"/>
      <c r="K12" s="142">
        <f>VLOOKUP(D12,Konstante!AW67:AX68,2,FALSE)</f>
        <v>0.4</v>
      </c>
      <c r="L12" s="209"/>
      <c r="M12" s="209"/>
      <c r="N12" s="142"/>
      <c r="O12" s="142"/>
      <c r="P12" s="142"/>
      <c r="Q12" s="142"/>
      <c r="R12" s="142"/>
    </row>
    <row r="13" spans="1:19" s="2" customFormat="1" ht="20.100000000000001" customHeight="1" x14ac:dyDescent="0.25">
      <c r="A13" s="975"/>
      <c r="B13" s="63"/>
      <c r="C13" s="97" t="s">
        <v>121</v>
      </c>
      <c r="D13" s="1046" t="s">
        <v>148</v>
      </c>
      <c r="E13" s="1046"/>
      <c r="F13" s="1046"/>
      <c r="G13" s="18"/>
      <c r="H13" s="202"/>
      <c r="I13" s="65"/>
      <c r="J13" s="28"/>
      <c r="K13" s="142">
        <f>VLOOKUP(D13,Konstante!AN67:AO70,2,FALSE)</f>
        <v>1</v>
      </c>
      <c r="L13" s="141"/>
      <c r="M13" s="144"/>
      <c r="N13" s="212"/>
      <c r="O13" s="142"/>
      <c r="P13" s="142"/>
      <c r="Q13" s="142"/>
      <c r="R13" s="142"/>
    </row>
    <row r="14" spans="1:19" s="2" customFormat="1" ht="20.100000000000001" customHeight="1" x14ac:dyDescent="0.25">
      <c r="A14" s="975"/>
      <c r="B14" s="64"/>
      <c r="C14" s="201"/>
      <c r="D14" s="18"/>
      <c r="E14" s="18"/>
      <c r="F14" s="18"/>
      <c r="G14" s="18"/>
      <c r="H14" s="202"/>
      <c r="I14" s="65"/>
      <c r="J14" s="28"/>
      <c r="K14" s="142"/>
      <c r="L14" s="141"/>
      <c r="M14" s="144"/>
      <c r="N14" s="212"/>
      <c r="O14" s="142"/>
      <c r="P14" s="142"/>
      <c r="Q14" s="142"/>
      <c r="R14" s="142"/>
    </row>
    <row r="15" spans="1:19" s="2" customFormat="1" ht="20.100000000000001" customHeight="1" x14ac:dyDescent="0.25">
      <c r="A15" s="975"/>
      <c r="B15" s="64"/>
      <c r="C15" s="99" t="s">
        <v>705</v>
      </c>
      <c r="D15" s="707"/>
      <c r="E15" s="207"/>
      <c r="F15" s="18"/>
      <c r="G15" s="18"/>
      <c r="H15" s="202"/>
      <c r="I15" s="65"/>
      <c r="J15" s="28"/>
      <c r="K15" s="142"/>
      <c r="L15" s="141"/>
      <c r="M15" s="144"/>
      <c r="N15" s="212">
        <f>D15</f>
        <v>0</v>
      </c>
      <c r="O15" s="142"/>
      <c r="P15" s="142"/>
      <c r="Q15" s="142"/>
      <c r="R15" s="142"/>
    </row>
    <row r="16" spans="1:19" s="2" customFormat="1" ht="20.100000000000001" customHeight="1" x14ac:dyDescent="0.25">
      <c r="A16" s="975"/>
      <c r="B16" s="64"/>
      <c r="C16" s="64"/>
      <c r="D16" s="18"/>
      <c r="E16" s="18"/>
      <c r="F16" s="18"/>
      <c r="G16" s="18"/>
      <c r="H16" s="202"/>
      <c r="I16" s="65"/>
      <c r="J16" s="28"/>
      <c r="K16" s="142"/>
      <c r="L16" s="144"/>
      <c r="M16" s="144"/>
      <c r="N16" s="212">
        <f ca="1">SUM(N10,N15)</f>
        <v>0</v>
      </c>
      <c r="O16" s="142"/>
      <c r="P16" s="142"/>
      <c r="Q16" s="142"/>
      <c r="R16" s="142"/>
    </row>
    <row r="17" spans="1:18" s="2" customFormat="1" ht="20.100000000000001" customHeight="1" x14ac:dyDescent="0.25">
      <c r="A17" s="975"/>
      <c r="B17" s="64"/>
      <c r="C17" s="64"/>
      <c r="D17" s="18"/>
      <c r="E17" s="18"/>
      <c r="F17" s="18"/>
      <c r="G17" s="18"/>
      <c r="H17" s="202"/>
      <c r="I17" s="65"/>
      <c r="J17" s="28"/>
      <c r="K17" s="142"/>
      <c r="L17" s="144"/>
      <c r="M17" s="144"/>
      <c r="N17" s="212"/>
      <c r="O17" s="142"/>
      <c r="P17" s="142"/>
      <c r="Q17" s="142"/>
      <c r="R17" s="142"/>
    </row>
    <row r="18" spans="1:18" s="2" customFormat="1" ht="20.100000000000001" customHeight="1" x14ac:dyDescent="0.25">
      <c r="A18" s="975"/>
      <c r="B18" s="64"/>
      <c r="C18" s="64"/>
      <c r="D18" s="203"/>
      <c r="E18" s="203"/>
      <c r="F18" s="203"/>
      <c r="G18" s="203"/>
      <c r="H18" s="204"/>
      <c r="I18" s="63"/>
      <c r="J18" s="28"/>
      <c r="K18" s="140"/>
      <c r="L18" s="144"/>
      <c r="M18" s="144"/>
      <c r="N18" s="143"/>
      <c r="O18" s="142"/>
      <c r="P18" s="142"/>
      <c r="Q18" s="142"/>
      <c r="R18" s="142"/>
    </row>
    <row r="19" spans="1:18" ht="19.5" customHeight="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7">
        <f>IF(AND(D7&lt;0.01,D8&lt;0.01,D9&lt;0.01),0,1)</f>
        <v>0</v>
      </c>
      <c r="G19" s="999" t="str">
        <f>IF(F19&lt;&gt;0, N16,"")</f>
        <v/>
      </c>
      <c r="H19" s="999"/>
      <c r="I19" s="63"/>
      <c r="M19" s="136"/>
    </row>
    <row r="20" spans="1:18" ht="19.5" customHeight="1" x14ac:dyDescent="0.25">
      <c r="A20" s="975"/>
      <c r="B20" s="63"/>
      <c r="C20" s="63"/>
      <c r="D20" s="63"/>
      <c r="E20" s="63"/>
      <c r="F20" s="63"/>
      <c r="G20" s="63"/>
      <c r="H20" s="63"/>
      <c r="I20" s="63"/>
    </row>
    <row r="21" spans="1:18" x14ac:dyDescent="0.25">
      <c r="A21" s="973" t="s">
        <v>72</v>
      </c>
    </row>
    <row r="22" spans="1:18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8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8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8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8" x14ac:dyDescent="0.25">
      <c r="A26" s="973"/>
    </row>
    <row r="27" spans="1:18" s="195" customFormat="1" ht="23.25" customHeight="1" x14ac:dyDescent="0.25">
      <c r="A27" s="973"/>
      <c r="B27" s="968" t="str">
        <f>CONCATENATE(D2," (", D3,")")</f>
        <v>UMBILDUNG EINER GELÄNDEAUFNAHME (Maßstabsänderung)</v>
      </c>
      <c r="C27" s="994"/>
      <c r="D27" s="994"/>
      <c r="E27" s="994"/>
      <c r="F27" s="994"/>
      <c r="G27" s="994"/>
      <c r="H27" s="994"/>
      <c r="I27" s="994"/>
      <c r="J27" s="29"/>
      <c r="K27" s="145"/>
      <c r="L27" s="146"/>
      <c r="M27" s="146"/>
      <c r="N27" s="147"/>
      <c r="O27" s="147"/>
      <c r="P27" s="147"/>
      <c r="Q27" s="147"/>
      <c r="R27" s="147"/>
    </row>
    <row r="28" spans="1:18" x14ac:dyDescent="0.25">
      <c r="A28" s="973"/>
      <c r="C28" s="45"/>
      <c r="D28" s="45"/>
      <c r="E28" s="45"/>
      <c r="F28" s="45"/>
      <c r="G28" s="45"/>
      <c r="H28" s="45"/>
    </row>
    <row r="29" spans="1:18" x14ac:dyDescent="0.25">
      <c r="A29" s="973"/>
      <c r="C29" s="45" t="s">
        <v>782</v>
      </c>
      <c r="D29" s="45"/>
      <c r="E29" s="45"/>
      <c r="F29" s="45"/>
      <c r="G29" s="45"/>
      <c r="H29" s="45"/>
    </row>
    <row r="30" spans="1:18" x14ac:dyDescent="0.25">
      <c r="A30" s="973"/>
      <c r="C30" s="45"/>
      <c r="D30" s="45"/>
      <c r="E30" s="45"/>
      <c r="F30" s="45"/>
      <c r="G30" s="45"/>
      <c r="H30" s="45"/>
    </row>
    <row r="31" spans="1:18" x14ac:dyDescent="0.25">
      <c r="A31" s="973"/>
      <c r="C31" s="45" t="s">
        <v>46</v>
      </c>
      <c r="D31" s="45"/>
      <c r="E31" s="367">
        <f>Gesamt!E14</f>
        <v>79.08</v>
      </c>
      <c r="F31" s="45"/>
      <c r="G31" s="45"/>
      <c r="H31" s="45"/>
    </row>
    <row r="32" spans="1:18" x14ac:dyDescent="0.25">
      <c r="A32" s="973"/>
      <c r="B32" s="425"/>
      <c r="C32" s="473"/>
      <c r="D32" s="473"/>
      <c r="E32" s="367"/>
      <c r="F32" s="473"/>
      <c r="G32" s="473"/>
      <c r="H32" s="473"/>
      <c r="I32" s="425"/>
    </row>
    <row r="33" spans="1:18" x14ac:dyDescent="0.25">
      <c r="A33" s="973"/>
      <c r="B33" s="425"/>
      <c r="C33" s="473" t="str">
        <f>VLOOKUP(D12,Konstante!AW67:AY68,3)</f>
        <v>H = F * (k * F + d) * E * IS * 0,40 + N</v>
      </c>
      <c r="D33" s="473"/>
      <c r="E33" s="367"/>
      <c r="F33" s="473"/>
      <c r="G33" s="473"/>
      <c r="H33" s="473"/>
      <c r="I33" s="425"/>
    </row>
    <row r="34" spans="1:18" x14ac:dyDescent="0.25">
      <c r="A34" s="973"/>
      <c r="C34" s="45"/>
      <c r="D34" s="45"/>
      <c r="E34" s="45"/>
      <c r="F34" s="45"/>
      <c r="G34" s="45"/>
      <c r="H34" s="45"/>
    </row>
    <row r="35" spans="1:18" x14ac:dyDescent="0.25">
      <c r="A35" s="973"/>
      <c r="C35" s="155" t="s">
        <v>185</v>
      </c>
      <c r="D35" s="45"/>
      <c r="E35" s="45" t="str">
        <f>D5</f>
        <v>1:500</v>
      </c>
      <c r="F35" s="45"/>
      <c r="G35" s="45"/>
      <c r="H35" s="45"/>
    </row>
    <row r="36" spans="1:18" x14ac:dyDescent="0.25">
      <c r="A36" s="973"/>
      <c r="C36" s="155" t="s">
        <v>121</v>
      </c>
      <c r="D36" s="45"/>
      <c r="E36" s="45" t="str">
        <f>D13</f>
        <v>wiederholte Datenlieferung</v>
      </c>
      <c r="F36" s="45"/>
      <c r="G36" s="45"/>
      <c r="H36" s="45"/>
    </row>
    <row r="37" spans="1:18" x14ac:dyDescent="0.25">
      <c r="A37" s="973"/>
      <c r="C37" s="135" t="s">
        <v>188</v>
      </c>
      <c r="D37" s="45"/>
      <c r="E37" s="224" t="str">
        <f>D12</f>
        <v>analog</v>
      </c>
      <c r="F37" s="45"/>
      <c r="G37" s="45"/>
      <c r="H37" s="45"/>
    </row>
    <row r="38" spans="1:18" x14ac:dyDescent="0.25">
      <c r="A38" s="973"/>
      <c r="B38" s="22"/>
      <c r="C38" s="135"/>
      <c r="D38" s="45"/>
      <c r="E38" s="224"/>
      <c r="F38" s="45"/>
      <c r="G38" s="45"/>
      <c r="H38" s="45"/>
      <c r="I38" s="22"/>
    </row>
    <row r="39" spans="1:18" x14ac:dyDescent="0.25">
      <c r="A39" s="973"/>
      <c r="B39" s="22"/>
      <c r="C39" s="156"/>
      <c r="D39" s="156"/>
      <c r="E39" s="194"/>
      <c r="F39" s="156"/>
      <c r="G39" s="156"/>
      <c r="H39" s="156"/>
      <c r="I39" s="22"/>
    </row>
    <row r="40" spans="1:18" x14ac:dyDescent="0.25">
      <c r="A40" s="973"/>
      <c r="C40" s="196" t="s">
        <v>162</v>
      </c>
      <c r="D40" s="196"/>
      <c r="E40" s="197" t="s">
        <v>163</v>
      </c>
      <c r="F40" s="45"/>
      <c r="G40" s="45"/>
      <c r="H40" s="45"/>
      <c r="J40" s="30"/>
    </row>
    <row r="41" spans="1:18" x14ac:dyDescent="0.25">
      <c r="A41" s="973"/>
      <c r="C41" s="154" t="str">
        <f>IF(D7&gt;0,"A1=","")</f>
        <v/>
      </c>
      <c r="D41" s="173" t="str">
        <f>IF(D7&gt;0,D7,"")</f>
        <v/>
      </c>
      <c r="E41" s="174" t="str">
        <f>IF(D7&gt;0,G7,"")</f>
        <v/>
      </c>
      <c r="F41" s="45"/>
      <c r="G41" s="45"/>
      <c r="H41" s="45"/>
      <c r="J41" s="30"/>
    </row>
    <row r="42" spans="1:18" x14ac:dyDescent="0.25">
      <c r="A42" s="973"/>
      <c r="C42" s="154" t="str">
        <f>IF(D8&gt;0,"A2=","")</f>
        <v/>
      </c>
      <c r="D42" s="173" t="str">
        <f t="shared" ref="D42:D43" si="0">IF(D8&gt;0,D8,"")</f>
        <v/>
      </c>
      <c r="E42" s="174" t="str">
        <f t="shared" ref="E42:E43" si="1">IF(D8&gt;0,G8,"")</f>
        <v/>
      </c>
      <c r="F42" s="45"/>
      <c r="G42" s="45"/>
      <c r="H42" s="45"/>
      <c r="J42" s="30"/>
    </row>
    <row r="43" spans="1:18" x14ac:dyDescent="0.25">
      <c r="A43" s="973"/>
      <c r="C43" s="217" t="str">
        <f>IF(D9&gt;0,"A3=","")</f>
        <v/>
      </c>
      <c r="D43" s="218" t="str">
        <f t="shared" si="0"/>
        <v/>
      </c>
      <c r="E43" s="219" t="str">
        <f t="shared" si="1"/>
        <v/>
      </c>
      <c r="F43" s="220"/>
      <c r="G43" s="220"/>
      <c r="H43" s="220"/>
      <c r="J43" s="30"/>
    </row>
    <row r="44" spans="1:18" x14ac:dyDescent="0.25">
      <c r="A44" s="973"/>
      <c r="C44" s="176" t="s">
        <v>161</v>
      </c>
      <c r="D44" s="213">
        <f>SUM(D41:D43)</f>
        <v>0</v>
      </c>
      <c r="E44" s="214"/>
      <c r="F44" s="175"/>
      <c r="G44" s="154"/>
      <c r="H44" s="155"/>
    </row>
    <row r="45" spans="1:18" x14ac:dyDescent="0.25">
      <c r="A45" s="973"/>
      <c r="C45" s="154"/>
      <c r="D45" s="173"/>
      <c r="E45" s="174"/>
      <c r="F45" s="175"/>
      <c r="G45" s="154"/>
      <c r="H45" s="155"/>
      <c r="K45" s="171"/>
    </row>
    <row r="46" spans="1:18" x14ac:dyDescent="0.25">
      <c r="A46" s="973"/>
      <c r="C46" s="176"/>
      <c r="D46" s="177"/>
      <c r="E46" s="216"/>
      <c r="F46" s="178"/>
      <c r="G46" s="176"/>
      <c r="H46" s="179"/>
      <c r="K46" s="171"/>
    </row>
    <row r="47" spans="1:18" s="3" customFormat="1" x14ac:dyDescent="0.25">
      <c r="A47" s="973"/>
      <c r="B47"/>
      <c r="C47" s="45" t="s">
        <v>64</v>
      </c>
      <c r="D47" s="45"/>
      <c r="E47" s="45"/>
      <c r="F47" s="170">
        <f>IF(F19&lt;&gt;0,ROUND(N10,2),0)</f>
        <v>0</v>
      </c>
      <c r="G47" s="156"/>
      <c r="H47" s="215"/>
      <c r="I47"/>
      <c r="J47" s="33"/>
      <c r="K47" s="172"/>
      <c r="L47" s="148"/>
      <c r="M47" s="148"/>
      <c r="N47" s="149"/>
      <c r="O47" s="149"/>
      <c r="P47" s="149"/>
      <c r="Q47" s="149"/>
      <c r="R47" s="149"/>
    </row>
    <row r="48" spans="1:18" x14ac:dyDescent="0.25">
      <c r="A48" s="973"/>
      <c r="C48" s="45"/>
      <c r="D48" s="42"/>
      <c r="E48" s="185"/>
      <c r="F48" s="186"/>
      <c r="G48" s="42"/>
      <c r="H48" s="45"/>
      <c r="K48" s="171"/>
    </row>
    <row r="49" spans="1:18" x14ac:dyDescent="0.25">
      <c r="A49" s="973"/>
      <c r="B49" s="3"/>
      <c r="C49" s="45" t="str">
        <f>IF(D15&gt;0,"Nebenkosten:","")</f>
        <v/>
      </c>
      <c r="D49" s="45"/>
      <c r="E49" s="45"/>
      <c r="F49" s="170" t="str">
        <f>IF(N15&gt;0,ROUND(N15,2),"")</f>
        <v/>
      </c>
      <c r="G49" s="45"/>
      <c r="H49" s="45"/>
      <c r="I49" s="3"/>
    </row>
    <row r="50" spans="1:18" x14ac:dyDescent="0.25">
      <c r="A50" s="973"/>
      <c r="C50" s="45"/>
      <c r="D50" s="45"/>
      <c r="E50" s="45"/>
      <c r="F50" s="170"/>
      <c r="G50" s="45"/>
      <c r="H50" s="45"/>
    </row>
    <row r="51" spans="1:18" x14ac:dyDescent="0.25">
      <c r="A51" s="973"/>
      <c r="C51" s="221"/>
      <c r="D51" s="221"/>
      <c r="E51" s="221"/>
      <c r="F51" s="222"/>
      <c r="G51" s="221"/>
      <c r="H51" s="221"/>
    </row>
    <row r="52" spans="1:18" x14ac:dyDescent="0.25">
      <c r="A52" s="973"/>
      <c r="C52" s="45" t="str">
        <f>IF(E18&gt;0,"Nebenkosten:","")</f>
        <v/>
      </c>
      <c r="D52" s="45"/>
      <c r="E52" s="45"/>
      <c r="F52" s="170" t="str">
        <f>IF(E18&gt;0,ROUND(E18,2),"")</f>
        <v/>
      </c>
      <c r="G52" s="45"/>
      <c r="H52" s="45"/>
    </row>
    <row r="53" spans="1:18" ht="15.75" x14ac:dyDescent="0.25">
      <c r="A53" s="973"/>
      <c r="C53" s="445" t="s">
        <v>71</v>
      </c>
      <c r="D53" s="159"/>
      <c r="E53" s="159"/>
      <c r="F53" s="165"/>
      <c r="G53" s="967">
        <f>IF(F19=1,SUM(F47:F49),0)</f>
        <v>0</v>
      </c>
      <c r="H53" s="967"/>
    </row>
    <row r="54" spans="1:18" s="15" customFormat="1" ht="15.75" x14ac:dyDescent="0.25">
      <c r="A54" s="973"/>
      <c r="B54"/>
      <c r="C54" s="135" t="str">
        <f>IF(O15&lt;&gt;0,"ohne Höhenschichtenlinien (-10%):","")</f>
        <v/>
      </c>
      <c r="D54" s="45"/>
      <c r="E54" s="154"/>
      <c r="F54" s="170" t="str">
        <f>IF(O15&lt;&gt;0,ROUND(O15,2),"")</f>
        <v/>
      </c>
      <c r="G54" s="45"/>
      <c r="H54" s="45"/>
      <c r="I54"/>
      <c r="J54" s="166"/>
      <c r="K54" s="167"/>
      <c r="L54" s="168"/>
      <c r="M54" s="168"/>
      <c r="N54" s="169"/>
      <c r="O54" s="169"/>
      <c r="P54" s="169"/>
      <c r="Q54" s="169"/>
      <c r="R54" s="169"/>
    </row>
    <row r="55" spans="1:18" x14ac:dyDescent="0.25">
      <c r="A55" s="973"/>
      <c r="C55" s="47" t="str">
        <f>IF(O16&lt;&gt;0,"Höhenkoten nicht freistellen (-5%):","")</f>
        <v/>
      </c>
      <c r="D55" s="215"/>
      <c r="E55" s="176"/>
      <c r="F55" s="223" t="str">
        <f>IF(O16&lt;&gt;0,ROUND(O16,2),"")</f>
        <v/>
      </c>
      <c r="G55" s="215"/>
      <c r="H55" s="215"/>
    </row>
    <row r="56" spans="1:18" ht="15.75" x14ac:dyDescent="0.25">
      <c r="A56" s="973"/>
      <c r="B56" s="15"/>
      <c r="C56" s="215"/>
      <c r="D56" s="215"/>
      <c r="E56" s="215"/>
      <c r="F56" s="215"/>
      <c r="G56" s="215"/>
      <c r="H56" s="215"/>
      <c r="I56" s="15"/>
    </row>
    <row r="57" spans="1:18" ht="15.75" x14ac:dyDescent="0.25">
      <c r="A57" s="973"/>
      <c r="C57" s="15"/>
      <c r="D57" s="159"/>
      <c r="E57" s="159"/>
      <c r="F57" s="165"/>
      <c r="G57" s="966"/>
      <c r="H57" s="966"/>
    </row>
    <row r="58" spans="1:18" x14ac:dyDescent="0.25">
      <c r="A58" s="973"/>
      <c r="C58" s="45"/>
      <c r="D58" s="45"/>
      <c r="E58" s="45"/>
      <c r="F58" s="154"/>
      <c r="G58" s="45"/>
      <c r="H58" s="45"/>
    </row>
    <row r="59" spans="1:18" x14ac:dyDescent="0.25">
      <c r="A59" s="973"/>
      <c r="C59" s="45"/>
      <c r="D59" s="45"/>
      <c r="E59" s="160"/>
      <c r="F59" s="158"/>
      <c r="G59" s="155"/>
      <c r="H59" s="45"/>
    </row>
    <row r="60" spans="1:18" s="25" customFormat="1" ht="15.75" x14ac:dyDescent="0.25">
      <c r="A60" s="973"/>
      <c r="B60"/>
      <c r="C60" s="45"/>
      <c r="D60" s="45"/>
      <c r="E60" s="45"/>
      <c r="F60" s="154"/>
      <c r="G60" s="155"/>
      <c r="H60" s="45"/>
      <c r="I60"/>
      <c r="J60" s="31"/>
      <c r="K60" s="150"/>
      <c r="L60" s="151"/>
      <c r="M60" s="151"/>
      <c r="N60" s="152"/>
      <c r="O60" s="152"/>
      <c r="P60" s="152"/>
      <c r="Q60" s="152"/>
      <c r="R60" s="152"/>
    </row>
    <row r="61" spans="1:18" x14ac:dyDescent="0.25">
      <c r="A61" s="973"/>
      <c r="C61" s="45"/>
      <c r="D61" s="45"/>
      <c r="E61" s="45"/>
      <c r="F61" s="158"/>
      <c r="G61" s="155"/>
      <c r="H61" s="45"/>
    </row>
    <row r="62" spans="1:18" ht="15.75" x14ac:dyDescent="0.25">
      <c r="A62" s="973"/>
      <c r="B62" s="25"/>
      <c r="C62" s="45"/>
      <c r="D62" s="45"/>
      <c r="E62" s="45"/>
      <c r="F62" s="45"/>
      <c r="G62" s="45"/>
      <c r="H62" s="45"/>
      <c r="I62" s="25"/>
    </row>
    <row r="63" spans="1:18" x14ac:dyDescent="0.25">
      <c r="A63" s="973"/>
      <c r="C63" s="45"/>
      <c r="D63" s="45"/>
      <c r="E63" s="45"/>
      <c r="F63" s="45"/>
      <c r="G63" s="45"/>
      <c r="H63" s="45"/>
    </row>
    <row r="64" spans="1:18" x14ac:dyDescent="0.25">
      <c r="A64" s="973"/>
      <c r="C64" s="161"/>
      <c r="D64" s="161"/>
      <c r="E64" s="161"/>
      <c r="F64" s="161"/>
      <c r="G64" s="161"/>
      <c r="H64" s="162"/>
    </row>
    <row r="65" spans="1:8" x14ac:dyDescent="0.25">
      <c r="A65" s="973"/>
      <c r="C65" s="45"/>
      <c r="D65" s="45"/>
      <c r="E65" s="45"/>
      <c r="F65" s="45"/>
      <c r="G65" s="45"/>
      <c r="H65" s="45"/>
    </row>
    <row r="66" spans="1:8" x14ac:dyDescent="0.25">
      <c r="A66" s="973"/>
    </row>
    <row r="67" spans="1:8" x14ac:dyDescent="0.25">
      <c r="A67" s="973"/>
    </row>
    <row r="68" spans="1:8" x14ac:dyDescent="0.25">
      <c r="A68" s="973"/>
    </row>
  </sheetData>
  <mergeCells count="13">
    <mergeCell ref="G57:H57"/>
    <mergeCell ref="D3:H3"/>
    <mergeCell ref="D13:F13"/>
    <mergeCell ref="G53:H53"/>
    <mergeCell ref="A1:A20"/>
    <mergeCell ref="D2:H2"/>
    <mergeCell ref="G19:H19"/>
    <mergeCell ref="A21:A68"/>
    <mergeCell ref="B22:I22"/>
    <mergeCell ref="B23:I23"/>
    <mergeCell ref="B24:I24"/>
    <mergeCell ref="B25:I25"/>
    <mergeCell ref="B27:I27"/>
  </mergeCell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Konstante!$C$70:$C$78</xm:f>
          </x14:formula1>
          <xm:sqref>G7:G9</xm:sqref>
        </x14:dataValidation>
        <x14:dataValidation type="list" allowBlank="1" showInputMessage="1" showErrorMessage="1">
          <x14:formula1>
            <xm:f>Konstante!$AW$67:$AW$68</xm:f>
          </x14:formula1>
          <xm:sqref>D12</xm:sqref>
        </x14:dataValidation>
        <x14:dataValidation type="list" allowBlank="1" showInputMessage="1" showErrorMessage="1">
          <x14:formula1>
            <xm:f>Konstante!$AN$67:$AN$70</xm:f>
          </x14:formula1>
          <xm:sqref>D13</xm:sqref>
        </x14:dataValidation>
        <x14:dataValidation type="list" allowBlank="1" showInputMessage="1" showErrorMessage="1">
          <x14:formula1>
            <xm:f>Konstante!$AH$68:$AH$72</xm:f>
          </x14:formula1>
          <xm:sqref>D5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zoomScaleSheetLayoutView="100" workbookViewId="0">
      <selection activeCell="D7" sqref="D7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  <col min="10" max="10" width="8.7109375" style="27" customWidth="1"/>
    <col min="11" max="11" width="11.42578125" style="136"/>
    <col min="12" max="13" width="11.42578125" style="137"/>
    <col min="14" max="18" width="11.42578125" style="138"/>
  </cols>
  <sheetData>
    <row r="1" spans="1:19" ht="17.25" customHeight="1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N1" s="210">
        <f ca="1">CELL("ZEILE",B27)</f>
        <v>27</v>
      </c>
    </row>
    <row r="2" spans="1:19" ht="22.5" customHeight="1" x14ac:dyDescent="0.25">
      <c r="A2" s="975"/>
      <c r="B2" s="64"/>
      <c r="C2" s="65" t="s">
        <v>36</v>
      </c>
      <c r="D2" s="1051" t="s">
        <v>711</v>
      </c>
      <c r="E2" s="1052"/>
      <c r="F2" s="1052"/>
      <c r="G2" s="1052"/>
      <c r="H2" s="1053"/>
      <c r="I2" s="63"/>
      <c r="K2" s="268" t="s">
        <v>793</v>
      </c>
      <c r="L2" s="236"/>
      <c r="M2" s="236"/>
      <c r="N2" s="268">
        <f ca="1">CELL("ZEILE",G52)</f>
        <v>52</v>
      </c>
      <c r="O2" s="139"/>
      <c r="P2" s="139"/>
    </row>
    <row r="3" spans="1:19" ht="22.5" customHeight="1" x14ac:dyDescent="0.25">
      <c r="A3" s="975"/>
      <c r="B3" s="64"/>
      <c r="C3" s="89"/>
      <c r="D3" s="1048" t="s">
        <v>187</v>
      </c>
      <c r="E3" s="1049"/>
      <c r="F3" s="1049"/>
      <c r="G3" s="1049"/>
      <c r="H3" s="1050"/>
      <c r="I3" s="63"/>
      <c r="K3" s="268" t="s">
        <v>794</v>
      </c>
      <c r="L3" s="236"/>
      <c r="M3" s="236"/>
      <c r="N3" s="268">
        <f>F19</f>
        <v>0</v>
      </c>
      <c r="O3" s="139"/>
      <c r="P3" s="139"/>
    </row>
    <row r="4" spans="1:19" ht="17.25" customHeight="1" x14ac:dyDescent="0.25">
      <c r="A4" s="975"/>
      <c r="B4" s="64"/>
      <c r="C4" s="92"/>
      <c r="D4" s="19"/>
      <c r="E4" s="19"/>
      <c r="F4" s="19"/>
      <c r="G4" s="19"/>
      <c r="H4" s="93"/>
      <c r="I4" s="63"/>
      <c r="K4" s="139"/>
      <c r="L4" s="208"/>
      <c r="M4" s="208"/>
      <c r="N4" s="139"/>
      <c r="O4" s="139"/>
      <c r="P4" s="139"/>
      <c r="Q4" s="139"/>
      <c r="R4" s="210"/>
      <c r="S4" s="7"/>
    </row>
    <row r="5" spans="1:19" ht="17.25" customHeight="1" x14ac:dyDescent="0.25">
      <c r="A5" s="975"/>
      <c r="B5" s="64"/>
      <c r="C5" s="97" t="s">
        <v>185</v>
      </c>
      <c r="D5" s="187" t="s">
        <v>9</v>
      </c>
      <c r="E5" s="18"/>
      <c r="F5" s="18"/>
      <c r="G5" s="18"/>
      <c r="H5" s="202"/>
      <c r="I5" s="63"/>
      <c r="K5" s="139"/>
      <c r="L5" s="208"/>
      <c r="M5" s="208"/>
      <c r="N5" s="139"/>
      <c r="O5" s="139"/>
      <c r="P5" s="139"/>
      <c r="Q5" s="210"/>
      <c r="R5" s="210"/>
      <c r="S5" s="7"/>
    </row>
    <row r="6" spans="1:19" ht="17.25" customHeight="1" x14ac:dyDescent="0.25">
      <c r="A6" s="975"/>
      <c r="B6" s="64"/>
      <c r="C6" s="201"/>
      <c r="D6" s="18"/>
      <c r="E6" s="13"/>
      <c r="F6" s="18"/>
      <c r="G6" s="18"/>
      <c r="H6" s="202"/>
      <c r="I6" s="63"/>
      <c r="K6" s="210"/>
      <c r="L6" s="137" t="s">
        <v>133</v>
      </c>
      <c r="M6" s="137" t="s">
        <v>156</v>
      </c>
      <c r="N6" s="210"/>
      <c r="O6" s="210"/>
      <c r="P6" s="210"/>
      <c r="Q6" s="210"/>
      <c r="R6" s="210"/>
      <c r="S6" s="7"/>
    </row>
    <row r="7" spans="1:19" ht="19.5" customHeight="1" x14ac:dyDescent="0.25">
      <c r="A7" s="975"/>
      <c r="B7" s="64"/>
      <c r="C7" s="97" t="s">
        <v>122</v>
      </c>
      <c r="D7" s="189">
        <v>0</v>
      </c>
      <c r="E7" s="18"/>
      <c r="F7" s="99" t="s">
        <v>124</v>
      </c>
      <c r="G7" s="100" t="s">
        <v>17</v>
      </c>
      <c r="H7" s="202"/>
      <c r="I7" s="63"/>
      <c r="K7" s="210"/>
      <c r="L7" s="209">
        <f ca="1">VLOOKUP($G7,INDIRECT(VLOOKUP($D$5,Konstante!$AH$68:$AL$72,2,FALSE)),VLOOKUP($D7,Konstante!$AH$75:$AI$78,2,TRUE))</f>
        <v>-10.74</v>
      </c>
      <c r="M7" s="209">
        <f ca="1">VLOOKUP($G7,INDIRECT(VLOOKUP($D$5,Konstante!$AH$68:$AL$72,4,FALSE)),VLOOKUP($D7,Konstante!$AH$75:$AI$78,2,TRUE))</f>
        <v>23.7</v>
      </c>
      <c r="N7" s="210">
        <f ca="1">D7*(L7*D7+M7)*$K$13*Gesamt!$E$14*0.4</f>
        <v>0</v>
      </c>
      <c r="O7" s="210"/>
      <c r="P7" s="210"/>
      <c r="Q7" s="210"/>
      <c r="R7" s="210"/>
      <c r="S7" s="7"/>
    </row>
    <row r="8" spans="1:19" s="2" customFormat="1" ht="20.100000000000001" customHeight="1" x14ac:dyDescent="0.25">
      <c r="A8" s="975"/>
      <c r="B8" s="64"/>
      <c r="C8" s="97" t="s">
        <v>122</v>
      </c>
      <c r="D8" s="189">
        <v>0</v>
      </c>
      <c r="E8" s="18"/>
      <c r="F8" s="99" t="s">
        <v>124</v>
      </c>
      <c r="G8" s="100" t="s">
        <v>20</v>
      </c>
      <c r="H8" s="202"/>
      <c r="I8" s="65"/>
      <c r="J8" s="28"/>
      <c r="K8" s="142"/>
      <c r="L8" s="209">
        <f ca="1">VLOOKUP($G8,INDIRECT(VLOOKUP($D$5,Konstante!$AH$68:$AL$72,2,FALSE)),VLOOKUP($D8,Konstante!$AH$75:$AI$78,2,TRUE))</f>
        <v>-12.26</v>
      </c>
      <c r="M8" s="209">
        <f ca="1">VLOOKUP($G8,INDIRECT(VLOOKUP($D$5,Konstante!$AH$68:$AL$72,4,FALSE)),VLOOKUP($D8,Konstante!$AH$75:$AI$78,2,TRUE))</f>
        <v>27.06</v>
      </c>
      <c r="N8" s="210">
        <f ca="1">D8*(L8*D8+M8)*$K$13*Gesamt!$E$14*0.4</f>
        <v>0</v>
      </c>
      <c r="O8" s="142"/>
      <c r="P8" s="142"/>
      <c r="Q8" s="142"/>
      <c r="R8" s="142"/>
    </row>
    <row r="9" spans="1:19" s="2" customFormat="1" ht="20.100000000000001" customHeight="1" x14ac:dyDescent="0.25">
      <c r="A9" s="975"/>
      <c r="B9" s="64"/>
      <c r="C9" s="97" t="s">
        <v>122</v>
      </c>
      <c r="D9" s="704">
        <v>0</v>
      </c>
      <c r="E9" s="18"/>
      <c r="F9" s="99" t="s">
        <v>124</v>
      </c>
      <c r="G9" s="100" t="s">
        <v>23</v>
      </c>
      <c r="H9" s="202"/>
      <c r="I9" s="64"/>
      <c r="J9" s="28"/>
      <c r="K9" s="142"/>
      <c r="L9" s="209">
        <f ca="1">VLOOKUP($G9,INDIRECT(VLOOKUP($D$5,Konstante!$AH$68:$AL$72,2,FALSE)),VLOOKUP($D9,Konstante!$AH$75:$AI$78,2,TRUE))</f>
        <v>-16.7</v>
      </c>
      <c r="M9" s="209">
        <f ca="1">VLOOKUP($G9,INDIRECT(VLOOKUP($D$5,Konstante!$AH$68:$AL$72,4,FALSE)),VLOOKUP($D9,Konstante!$AH$75:$AI$78,2,TRUE))</f>
        <v>36.869999999999997</v>
      </c>
      <c r="N9" s="210">
        <f ca="1">D9*(L9*D9+M9)*$K$13*Gesamt!$E$14*0.4</f>
        <v>0</v>
      </c>
      <c r="O9" s="142"/>
      <c r="P9" s="142"/>
      <c r="Q9" s="142"/>
      <c r="R9" s="142"/>
    </row>
    <row r="10" spans="1:19" s="2" customFormat="1" ht="20.100000000000001" customHeight="1" x14ac:dyDescent="0.25">
      <c r="A10" s="975"/>
      <c r="B10" s="64"/>
      <c r="C10" s="97" t="s">
        <v>123</v>
      </c>
      <c r="D10" s="207">
        <f>SUM(D7:D9)</f>
        <v>0</v>
      </c>
      <c r="E10" s="19" t="s">
        <v>173</v>
      </c>
      <c r="F10" s="18"/>
      <c r="G10" s="18"/>
      <c r="H10" s="202"/>
      <c r="I10" s="64"/>
      <c r="J10" s="28"/>
      <c r="K10" s="142"/>
      <c r="L10" s="209"/>
      <c r="M10" s="209"/>
      <c r="N10" s="192">
        <f ca="1">SUM(N7:N9)</f>
        <v>0</v>
      </c>
      <c r="O10" s="142"/>
      <c r="P10" s="142"/>
      <c r="Q10" s="142"/>
      <c r="R10" s="142"/>
    </row>
    <row r="11" spans="1:19" s="2" customFormat="1" ht="20.100000000000001" customHeight="1" x14ac:dyDescent="0.25">
      <c r="A11" s="975"/>
      <c r="B11" s="64"/>
      <c r="C11" s="10"/>
      <c r="D11" s="18"/>
      <c r="E11" s="18"/>
      <c r="F11" s="18"/>
      <c r="G11" s="18"/>
      <c r="H11" s="202"/>
      <c r="I11" s="64"/>
      <c r="J11" s="28"/>
      <c r="K11" s="142"/>
      <c r="L11" s="209"/>
      <c r="M11" s="209"/>
      <c r="N11" s="142"/>
      <c r="O11" s="142"/>
      <c r="P11" s="142"/>
      <c r="Q11" s="142"/>
      <c r="R11" s="142"/>
    </row>
    <row r="12" spans="1:19" s="2" customFormat="1" ht="20.100000000000001" customHeight="1" x14ac:dyDescent="0.25">
      <c r="A12" s="975"/>
      <c r="B12" s="64"/>
      <c r="C12" s="97"/>
      <c r="D12" s="18"/>
      <c r="E12" s="19"/>
      <c r="F12" s="18"/>
      <c r="G12" s="18"/>
      <c r="H12" s="202"/>
      <c r="I12" s="65"/>
      <c r="J12" s="28"/>
      <c r="K12" s="142"/>
      <c r="L12" s="209"/>
      <c r="M12" s="209"/>
      <c r="N12" s="142"/>
      <c r="O12" s="142"/>
      <c r="P12" s="142"/>
      <c r="Q12" s="142"/>
      <c r="R12" s="142"/>
    </row>
    <row r="13" spans="1:19" s="2" customFormat="1" ht="20.100000000000001" customHeight="1" x14ac:dyDescent="0.25">
      <c r="A13" s="975"/>
      <c r="B13" s="63"/>
      <c r="C13" s="97" t="s">
        <v>121</v>
      </c>
      <c r="D13" s="1046" t="s">
        <v>148</v>
      </c>
      <c r="E13" s="1046"/>
      <c r="F13" s="1046"/>
      <c r="G13" s="18"/>
      <c r="H13" s="202"/>
      <c r="I13" s="65"/>
      <c r="J13" s="28"/>
      <c r="K13" s="142">
        <f>VLOOKUP(D13,Konstante!AN67:AO70,2,FALSE)</f>
        <v>1</v>
      </c>
      <c r="L13" s="141"/>
      <c r="M13" s="144"/>
      <c r="N13" s="212"/>
      <c r="O13" s="142"/>
      <c r="P13" s="142"/>
      <c r="Q13" s="142"/>
      <c r="R13" s="142"/>
    </row>
    <row r="14" spans="1:19" s="2" customFormat="1" ht="20.100000000000001" customHeight="1" x14ac:dyDescent="0.25">
      <c r="A14" s="975"/>
      <c r="B14" s="64"/>
      <c r="C14" s="201"/>
      <c r="D14" s="18"/>
      <c r="E14" s="18"/>
      <c r="F14" s="18"/>
      <c r="G14" s="18"/>
      <c r="H14" s="202"/>
      <c r="I14" s="65"/>
      <c r="J14" s="28"/>
      <c r="K14" s="142"/>
      <c r="L14" s="141"/>
      <c r="M14" s="144"/>
      <c r="N14" s="212"/>
      <c r="O14" s="142"/>
      <c r="P14" s="142"/>
      <c r="Q14" s="142"/>
      <c r="R14" s="142"/>
    </row>
    <row r="15" spans="1:19" s="2" customFormat="1" ht="20.100000000000001" customHeight="1" x14ac:dyDescent="0.25">
      <c r="A15" s="975"/>
      <c r="B15" s="64"/>
      <c r="C15" s="99" t="s">
        <v>705</v>
      </c>
      <c r="D15" s="707"/>
      <c r="E15" s="207"/>
      <c r="F15" s="18"/>
      <c r="G15" s="18"/>
      <c r="H15" s="202"/>
      <c r="I15" s="65"/>
      <c r="J15" s="28"/>
      <c r="K15" s="142"/>
      <c r="L15" s="141"/>
      <c r="M15" s="144"/>
      <c r="N15" s="861">
        <f>D15</f>
        <v>0</v>
      </c>
      <c r="O15" s="142"/>
      <c r="P15" s="142"/>
      <c r="Q15" s="142"/>
      <c r="R15" s="142"/>
    </row>
    <row r="16" spans="1:19" s="2" customFormat="1" ht="20.100000000000001" customHeight="1" x14ac:dyDescent="0.25">
      <c r="A16" s="975"/>
      <c r="B16" s="64"/>
      <c r="C16" s="64"/>
      <c r="D16" s="18"/>
      <c r="E16" s="18"/>
      <c r="F16" s="18"/>
      <c r="G16" s="18"/>
      <c r="H16" s="202"/>
      <c r="I16" s="65"/>
      <c r="J16" s="28"/>
      <c r="K16" s="142"/>
      <c r="L16" s="144"/>
      <c r="M16" s="144"/>
      <c r="N16" s="862">
        <f ca="1">SUM(N10,N15)</f>
        <v>0</v>
      </c>
      <c r="O16" s="142"/>
      <c r="P16" s="142"/>
      <c r="Q16" s="142"/>
      <c r="R16" s="142"/>
    </row>
    <row r="17" spans="1:18" s="2" customFormat="1" ht="20.100000000000001" customHeight="1" x14ac:dyDescent="0.25">
      <c r="A17" s="975"/>
      <c r="B17" s="64"/>
      <c r="C17" s="64"/>
      <c r="D17" s="18"/>
      <c r="E17" s="18"/>
      <c r="F17" s="18"/>
      <c r="G17" s="18"/>
      <c r="H17" s="202"/>
      <c r="I17" s="65"/>
      <c r="J17" s="28"/>
      <c r="K17" s="142"/>
      <c r="L17" s="144"/>
      <c r="M17" s="144"/>
      <c r="N17" s="212"/>
      <c r="O17" s="142"/>
      <c r="P17" s="142"/>
      <c r="Q17" s="142"/>
      <c r="R17" s="142"/>
    </row>
    <row r="18" spans="1:18" s="2" customFormat="1" ht="20.100000000000001" customHeight="1" x14ac:dyDescent="0.25">
      <c r="A18" s="975"/>
      <c r="B18" s="64"/>
      <c r="C18" s="64"/>
      <c r="D18" s="203"/>
      <c r="E18" s="203"/>
      <c r="F18" s="203"/>
      <c r="G18" s="203"/>
      <c r="H18" s="204"/>
      <c r="I18" s="63"/>
      <c r="J18" s="28"/>
      <c r="K18" s="140"/>
      <c r="L18" s="144"/>
      <c r="M18" s="144"/>
      <c r="N18" s="143"/>
      <c r="O18" s="142"/>
      <c r="P18" s="142"/>
      <c r="Q18" s="142"/>
      <c r="R18" s="142"/>
    </row>
    <row r="19" spans="1:18" ht="19.5" customHeight="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7">
        <f>IF(AND(D7&lt;0.01,D8&lt;0.01,D9&lt;0.01),0,1)</f>
        <v>0</v>
      </c>
      <c r="G19" s="999" t="str">
        <f>IF(F19&lt;&gt;0, N16,"")</f>
        <v/>
      </c>
      <c r="H19" s="999"/>
      <c r="I19" s="63"/>
      <c r="M19" s="136"/>
    </row>
    <row r="20" spans="1:18" ht="19.5" customHeight="1" x14ac:dyDescent="0.25">
      <c r="A20" s="975"/>
      <c r="B20" s="63"/>
      <c r="C20" s="63"/>
      <c r="D20" s="63"/>
      <c r="E20" s="63"/>
      <c r="F20" s="63"/>
      <c r="G20" s="63"/>
      <c r="H20" s="63"/>
      <c r="I20" s="63"/>
    </row>
    <row r="21" spans="1:18" x14ac:dyDescent="0.25">
      <c r="A21" s="973" t="s">
        <v>72</v>
      </c>
    </row>
    <row r="22" spans="1:18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8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8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8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8" x14ac:dyDescent="0.25">
      <c r="A26" s="973"/>
    </row>
    <row r="27" spans="1:18" s="195" customFormat="1" ht="23.25" customHeight="1" x14ac:dyDescent="0.25">
      <c r="A27" s="973"/>
      <c r="B27" s="968" t="str">
        <f>CONCATENATE(D2," (", D3,")")</f>
        <v>UMBILDUNG EINER GELÄNDEAUFNAHME (analog auf digital)</v>
      </c>
      <c r="C27" s="994"/>
      <c r="D27" s="994"/>
      <c r="E27" s="994"/>
      <c r="F27" s="994"/>
      <c r="G27" s="994"/>
      <c r="H27" s="994"/>
      <c r="I27" s="994"/>
      <c r="J27" s="29"/>
      <c r="K27" s="145"/>
      <c r="L27" s="146"/>
      <c r="M27" s="146"/>
      <c r="N27" s="147"/>
      <c r="O27" s="147"/>
      <c r="P27" s="147"/>
      <c r="Q27" s="147"/>
      <c r="R27" s="147"/>
    </row>
    <row r="28" spans="1:18" x14ac:dyDescent="0.25">
      <c r="A28" s="973"/>
      <c r="C28" s="45"/>
      <c r="D28" s="45"/>
      <c r="E28" s="45"/>
      <c r="F28" s="45"/>
      <c r="G28" s="45"/>
      <c r="H28" s="45"/>
    </row>
    <row r="29" spans="1:18" x14ac:dyDescent="0.25">
      <c r="A29" s="973"/>
      <c r="C29" s="45" t="s">
        <v>783</v>
      </c>
      <c r="D29" s="45"/>
      <c r="E29" s="45"/>
      <c r="F29" s="45"/>
      <c r="G29" s="45"/>
      <c r="H29" s="45"/>
    </row>
    <row r="30" spans="1:18" x14ac:dyDescent="0.25">
      <c r="A30" s="973"/>
      <c r="C30" s="45"/>
      <c r="D30" s="45"/>
      <c r="E30" s="45"/>
      <c r="F30" s="45"/>
      <c r="G30" s="45"/>
      <c r="H30" s="45"/>
    </row>
    <row r="31" spans="1:18" x14ac:dyDescent="0.25">
      <c r="A31" s="973"/>
      <c r="C31" s="45" t="s">
        <v>46</v>
      </c>
      <c r="D31" s="45"/>
      <c r="E31" s="367">
        <f>Gesamt!E14</f>
        <v>79.08</v>
      </c>
      <c r="F31" s="45"/>
      <c r="G31" s="45"/>
      <c r="H31" s="45"/>
    </row>
    <row r="32" spans="1:18" x14ac:dyDescent="0.25">
      <c r="A32" s="973"/>
      <c r="B32" s="425"/>
      <c r="C32" s="473"/>
      <c r="D32" s="473"/>
      <c r="E32" s="367"/>
      <c r="F32" s="473"/>
      <c r="G32" s="473"/>
      <c r="H32" s="473"/>
      <c r="I32" s="425"/>
    </row>
    <row r="33" spans="1:18" x14ac:dyDescent="0.25">
      <c r="A33" s="973"/>
      <c r="B33" s="425"/>
      <c r="C33" s="899" t="s">
        <v>865</v>
      </c>
      <c r="D33" s="473"/>
      <c r="E33" s="367"/>
      <c r="F33" s="473"/>
      <c r="G33" s="473"/>
      <c r="H33" s="473"/>
      <c r="I33" s="425"/>
    </row>
    <row r="34" spans="1:18" x14ac:dyDescent="0.25">
      <c r="A34" s="973"/>
      <c r="C34" s="473"/>
      <c r="D34" s="45"/>
      <c r="E34" s="45"/>
      <c r="F34" s="45"/>
      <c r="G34" s="45"/>
      <c r="H34" s="45"/>
    </row>
    <row r="35" spans="1:18" x14ac:dyDescent="0.25">
      <c r="A35" s="973"/>
      <c r="C35" s="155" t="s">
        <v>185</v>
      </c>
      <c r="D35" s="45"/>
      <c r="E35" s="45" t="str">
        <f>D5</f>
        <v>1:500</v>
      </c>
      <c r="F35" s="45"/>
      <c r="G35" s="45"/>
      <c r="H35" s="45"/>
    </row>
    <row r="36" spans="1:18" x14ac:dyDescent="0.25">
      <c r="A36" s="973"/>
      <c r="C36" s="155" t="s">
        <v>121</v>
      </c>
      <c r="D36" s="45"/>
      <c r="E36" s="45" t="str">
        <f>D13</f>
        <v>wiederholte Datenlieferung</v>
      </c>
      <c r="F36" s="45"/>
      <c r="G36" s="45"/>
      <c r="H36" s="45"/>
    </row>
    <row r="37" spans="1:18" x14ac:dyDescent="0.25">
      <c r="A37" s="973"/>
      <c r="C37" s="135"/>
      <c r="D37" s="45"/>
      <c r="E37" s="45"/>
      <c r="F37" s="45"/>
      <c r="G37" s="45"/>
      <c r="H37" s="45"/>
    </row>
    <row r="38" spans="1:18" x14ac:dyDescent="0.25">
      <c r="A38" s="973"/>
      <c r="B38" s="22"/>
      <c r="C38" s="156"/>
      <c r="D38" s="156"/>
      <c r="E38" s="194"/>
      <c r="F38" s="156"/>
      <c r="G38" s="156"/>
      <c r="H38" s="156"/>
      <c r="I38" s="22"/>
    </row>
    <row r="39" spans="1:18" x14ac:dyDescent="0.25">
      <c r="A39" s="973"/>
      <c r="B39" s="22"/>
      <c r="C39" s="196" t="s">
        <v>162</v>
      </c>
      <c r="D39" s="196"/>
      <c r="E39" s="197" t="s">
        <v>163</v>
      </c>
      <c r="F39" s="45"/>
      <c r="G39" s="45"/>
      <c r="H39" s="45"/>
      <c r="I39" s="22"/>
    </row>
    <row r="40" spans="1:18" x14ac:dyDescent="0.25">
      <c r="A40" s="973"/>
      <c r="C40" s="154" t="str">
        <f>IF(D7&gt;0,"A1=","")</f>
        <v/>
      </c>
      <c r="D40" s="173" t="str">
        <f>IF(D7&gt;0,D7,"")</f>
        <v/>
      </c>
      <c r="E40" s="174" t="str">
        <f>IF(D7&gt;0,G7,"")</f>
        <v/>
      </c>
      <c r="F40" s="45"/>
      <c r="G40" s="45"/>
      <c r="H40" s="45"/>
      <c r="J40" s="30"/>
    </row>
    <row r="41" spans="1:18" x14ac:dyDescent="0.25">
      <c r="A41" s="973"/>
      <c r="C41" s="154" t="str">
        <f>IF(D8&gt;0,"A2=","")</f>
        <v/>
      </c>
      <c r="D41" s="173" t="str">
        <f>IF(D8&gt;0,D8,"")</f>
        <v/>
      </c>
      <c r="E41" s="174" t="str">
        <f>IF(D8&gt;0,G8,"")</f>
        <v/>
      </c>
      <c r="F41" s="45"/>
      <c r="G41" s="45"/>
      <c r="H41" s="45"/>
      <c r="J41" s="30"/>
    </row>
    <row r="42" spans="1:18" x14ac:dyDescent="0.25">
      <c r="A42" s="973"/>
      <c r="C42" s="217" t="str">
        <f>IF(D9&gt;0,"A3=","")</f>
        <v/>
      </c>
      <c r="D42" s="218" t="str">
        <f>IF(D9&gt;0,D9,"")</f>
        <v/>
      </c>
      <c r="E42" s="219" t="str">
        <f>IF(D9&gt;0,G9,"")</f>
        <v/>
      </c>
      <c r="F42" s="220"/>
      <c r="G42" s="220"/>
      <c r="H42" s="220"/>
      <c r="J42" s="30"/>
    </row>
    <row r="43" spans="1:18" x14ac:dyDescent="0.25">
      <c r="A43" s="973"/>
      <c r="C43" s="176" t="s">
        <v>161</v>
      </c>
      <c r="D43" s="213">
        <f>SUM(D40:D42)</f>
        <v>0</v>
      </c>
      <c r="E43" s="214"/>
      <c r="F43" s="175"/>
      <c r="G43" s="154"/>
      <c r="H43" s="155"/>
      <c r="J43" s="30"/>
    </row>
    <row r="44" spans="1:18" x14ac:dyDescent="0.25">
      <c r="A44" s="973"/>
      <c r="C44" s="154"/>
      <c r="D44" s="173"/>
      <c r="E44" s="174"/>
      <c r="F44" s="175"/>
      <c r="G44" s="154"/>
      <c r="H44" s="155"/>
    </row>
    <row r="45" spans="1:18" x14ac:dyDescent="0.25">
      <c r="A45" s="973"/>
      <c r="C45" s="176"/>
      <c r="D45" s="177"/>
      <c r="E45" s="216"/>
      <c r="F45" s="178"/>
      <c r="G45" s="176"/>
      <c r="H45" s="179"/>
      <c r="K45" s="171"/>
    </row>
    <row r="46" spans="1:18" x14ac:dyDescent="0.25">
      <c r="A46" s="973"/>
      <c r="C46" s="45" t="s">
        <v>64</v>
      </c>
      <c r="D46" s="45"/>
      <c r="E46" s="45"/>
      <c r="F46" s="170">
        <f ca="1">IF(N16&lt;&gt;9,ROUND(N10,2),0)</f>
        <v>0</v>
      </c>
      <c r="G46" s="156"/>
      <c r="H46" s="215"/>
      <c r="K46" s="171"/>
    </row>
    <row r="47" spans="1:18" s="3" customFormat="1" x14ac:dyDescent="0.25">
      <c r="A47" s="973"/>
      <c r="B47"/>
      <c r="C47" s="45"/>
      <c r="D47" s="42"/>
      <c r="E47" s="185"/>
      <c r="F47" s="186"/>
      <c r="G47" s="42"/>
      <c r="H47" s="45"/>
      <c r="I47"/>
      <c r="J47" s="33"/>
      <c r="K47" s="172"/>
      <c r="L47" s="148"/>
      <c r="M47" s="148"/>
      <c r="N47" s="149"/>
      <c r="O47" s="149"/>
      <c r="P47" s="149"/>
      <c r="Q47" s="149"/>
      <c r="R47" s="149"/>
    </row>
    <row r="48" spans="1:18" x14ac:dyDescent="0.25">
      <c r="A48" s="973"/>
      <c r="C48" s="45" t="str">
        <f>IF(D15&gt;0,"Nebenkosten:","")</f>
        <v/>
      </c>
      <c r="D48" s="45"/>
      <c r="E48" s="45"/>
      <c r="F48" s="170" t="str">
        <f>IF(N15&gt;0,ROUND(N15,2),"")</f>
        <v/>
      </c>
      <c r="G48" s="45"/>
      <c r="H48" s="45"/>
      <c r="K48" s="171"/>
    </row>
    <row r="49" spans="1:18" x14ac:dyDescent="0.25">
      <c r="A49" s="973"/>
      <c r="B49" s="3"/>
      <c r="C49" s="45"/>
      <c r="D49" s="45"/>
      <c r="E49" s="45"/>
      <c r="F49" s="170"/>
      <c r="G49" s="45"/>
      <c r="H49" s="45"/>
      <c r="I49" s="3"/>
    </row>
    <row r="50" spans="1:18" x14ac:dyDescent="0.25">
      <c r="A50" s="973"/>
      <c r="C50" s="221"/>
      <c r="D50" s="221"/>
      <c r="E50" s="221"/>
      <c r="F50" s="222"/>
      <c r="G50" s="221"/>
      <c r="H50" s="221"/>
    </row>
    <row r="51" spans="1:18" x14ac:dyDescent="0.25">
      <c r="A51" s="973"/>
      <c r="C51" s="45" t="str">
        <f>IF(E18&gt;0,"Nebenkosten:","")</f>
        <v/>
      </c>
      <c r="D51" s="45"/>
      <c r="E51" s="45"/>
      <c r="F51" s="170" t="str">
        <f>IF(E18&gt;0,ROUND(E18,2),"")</f>
        <v/>
      </c>
      <c r="G51" s="45"/>
      <c r="H51" s="45"/>
    </row>
    <row r="52" spans="1:18" ht="15.75" x14ac:dyDescent="0.25">
      <c r="A52" s="973"/>
      <c r="C52" s="445" t="s">
        <v>71</v>
      </c>
      <c r="D52" s="159"/>
      <c r="E52" s="159"/>
      <c r="F52" s="165"/>
      <c r="G52" s="967">
        <f>IF(F19=1,SUM(F45:F50),0)</f>
        <v>0</v>
      </c>
      <c r="H52" s="967"/>
    </row>
    <row r="53" spans="1:18" x14ac:dyDescent="0.25">
      <c r="A53" s="973"/>
      <c r="C53" s="135" t="str">
        <f>IF(O15&lt;&gt;0,"ohne Höhenschichtenlinien (-10%):","")</f>
        <v/>
      </c>
      <c r="D53" s="45"/>
      <c r="E53" s="154"/>
      <c r="F53" s="170" t="str">
        <f>IF(O15&lt;&gt;0,ROUND(O15,2),"")</f>
        <v/>
      </c>
      <c r="G53" s="45"/>
      <c r="H53" s="45"/>
    </row>
    <row r="54" spans="1:18" s="15" customFormat="1" ht="15.75" x14ac:dyDescent="0.25">
      <c r="A54" s="973"/>
      <c r="B54"/>
      <c r="C54" s="47" t="str">
        <f>IF(O16&lt;&gt;0,"Höhenkoten nicht freistellen (-5%):","")</f>
        <v/>
      </c>
      <c r="D54" s="215"/>
      <c r="E54" s="176"/>
      <c r="F54" s="223" t="str">
        <f>IF(O16&lt;&gt;0,ROUND(O16,2),"")</f>
        <v/>
      </c>
      <c r="G54" s="215"/>
      <c r="H54" s="215"/>
      <c r="I54"/>
      <c r="J54" s="166"/>
      <c r="K54" s="167"/>
      <c r="L54" s="168"/>
      <c r="M54" s="168"/>
      <c r="N54" s="169"/>
      <c r="O54" s="169"/>
      <c r="P54" s="169"/>
      <c r="Q54" s="169"/>
      <c r="R54" s="169"/>
    </row>
    <row r="55" spans="1:18" x14ac:dyDescent="0.25">
      <c r="A55" s="973"/>
      <c r="C55" s="215"/>
      <c r="D55" s="215"/>
      <c r="E55" s="215"/>
      <c r="F55" s="215"/>
      <c r="G55" s="215"/>
      <c r="H55" s="215"/>
    </row>
    <row r="56" spans="1:18" ht="15.75" x14ac:dyDescent="0.25">
      <c r="A56" s="973"/>
      <c r="B56" s="15"/>
      <c r="C56" s="15"/>
      <c r="D56" s="159"/>
      <c r="E56" s="159"/>
      <c r="F56" s="165"/>
      <c r="G56" s="966"/>
      <c r="H56" s="966"/>
      <c r="I56" s="15"/>
    </row>
    <row r="57" spans="1:18" x14ac:dyDescent="0.25">
      <c r="A57" s="973"/>
      <c r="C57" s="45"/>
      <c r="D57" s="45"/>
      <c r="E57" s="45"/>
      <c r="F57" s="154"/>
      <c r="G57" s="45"/>
      <c r="H57" s="45"/>
    </row>
    <row r="58" spans="1:18" x14ac:dyDescent="0.25">
      <c r="A58" s="973"/>
      <c r="C58" s="45"/>
      <c r="D58" s="45"/>
      <c r="E58" s="160"/>
      <c r="F58" s="158"/>
      <c r="G58" s="155"/>
      <c r="H58" s="45"/>
    </row>
    <row r="59" spans="1:18" x14ac:dyDescent="0.25">
      <c r="A59" s="973"/>
      <c r="C59" s="45"/>
      <c r="D59" s="45"/>
      <c r="E59" s="45"/>
      <c r="F59" s="154"/>
      <c r="G59" s="155"/>
      <c r="H59" s="45"/>
    </row>
    <row r="60" spans="1:18" s="25" customFormat="1" ht="15.75" x14ac:dyDescent="0.25">
      <c r="A60" s="973"/>
      <c r="B60"/>
      <c r="C60" s="45"/>
      <c r="D60" s="45"/>
      <c r="E60" s="45"/>
      <c r="F60" s="158"/>
      <c r="G60" s="155"/>
      <c r="H60" s="45"/>
      <c r="I60"/>
      <c r="J60" s="31"/>
      <c r="K60" s="150"/>
      <c r="L60" s="151"/>
      <c r="M60" s="151"/>
      <c r="N60" s="152"/>
      <c r="O60" s="152"/>
      <c r="P60" s="152"/>
      <c r="Q60" s="152"/>
      <c r="R60" s="152"/>
    </row>
    <row r="61" spans="1:18" x14ac:dyDescent="0.25">
      <c r="A61" s="973"/>
      <c r="C61" s="45"/>
      <c r="D61" s="45"/>
      <c r="E61" s="45"/>
      <c r="F61" s="45"/>
      <c r="G61" s="45"/>
      <c r="H61" s="45"/>
    </row>
    <row r="62" spans="1:18" ht="15.75" x14ac:dyDescent="0.25">
      <c r="A62" s="973"/>
      <c r="B62" s="25"/>
      <c r="C62" s="45"/>
      <c r="D62" s="45"/>
      <c r="E62" s="45"/>
      <c r="F62" s="45"/>
      <c r="G62" s="45"/>
      <c r="H62" s="45"/>
      <c r="I62" s="25"/>
    </row>
    <row r="63" spans="1:18" x14ac:dyDescent="0.25">
      <c r="A63" s="973"/>
      <c r="C63" s="161"/>
      <c r="D63" s="161"/>
      <c r="E63" s="161"/>
      <c r="F63" s="161"/>
      <c r="G63" s="161"/>
      <c r="H63" s="162"/>
    </row>
    <row r="64" spans="1:18" x14ac:dyDescent="0.25">
      <c r="A64" s="973"/>
      <c r="C64" s="45"/>
      <c r="D64" s="45"/>
      <c r="E64" s="45"/>
      <c r="F64" s="45"/>
      <c r="G64" s="45"/>
      <c r="H64" s="45"/>
    </row>
    <row r="65" spans="1:1" x14ac:dyDescent="0.25">
      <c r="A65" s="973"/>
    </row>
    <row r="66" spans="1:1" x14ac:dyDescent="0.25">
      <c r="A66" s="973"/>
    </row>
    <row r="67" spans="1:1" x14ac:dyDescent="0.25">
      <c r="A67" s="973"/>
    </row>
    <row r="68" spans="1:1" x14ac:dyDescent="0.25">
      <c r="A68" s="973"/>
    </row>
  </sheetData>
  <mergeCells count="13">
    <mergeCell ref="B27:I27"/>
    <mergeCell ref="G52:H52"/>
    <mergeCell ref="G56:H56"/>
    <mergeCell ref="A1:A20"/>
    <mergeCell ref="D2:H2"/>
    <mergeCell ref="D3:H3"/>
    <mergeCell ref="D13:F13"/>
    <mergeCell ref="G19:H19"/>
    <mergeCell ref="A21:A68"/>
    <mergeCell ref="B22:I22"/>
    <mergeCell ref="B23:I23"/>
    <mergeCell ref="B24:I24"/>
    <mergeCell ref="B25:I25"/>
  </mergeCell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Konstante!$AH$68:$AH$72</xm:f>
          </x14:formula1>
          <xm:sqref>D5</xm:sqref>
        </x14:dataValidation>
        <x14:dataValidation type="list" allowBlank="1" showInputMessage="1" showErrorMessage="1">
          <x14:formula1>
            <xm:f>Konstante!$AN$67:$AN$70</xm:f>
          </x14:formula1>
          <xm:sqref>D13</xm:sqref>
        </x14:dataValidation>
        <x14:dataValidation type="list" allowBlank="1" showInputMessage="1" showErrorMessage="1">
          <x14:formula1>
            <xm:f>Konstante!$C$70:$C$78</xm:f>
          </x14:formula1>
          <xm:sqref>G7:G9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zoomScaleNormal="100" zoomScaleSheetLayoutView="100" workbookViewId="0">
      <selection activeCell="D6" sqref="D6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  <col min="10" max="10" width="8.7109375" style="27" customWidth="1"/>
    <col min="11" max="11" width="11.42578125" style="136"/>
    <col min="12" max="13" width="11.42578125" style="137"/>
    <col min="14" max="18" width="11.42578125" style="138"/>
  </cols>
  <sheetData>
    <row r="1" spans="1:24" ht="17.25" customHeight="1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N1" s="210">
        <f ca="1">CELL("ZEILE",B27)</f>
        <v>27</v>
      </c>
    </row>
    <row r="2" spans="1:24" ht="22.5" customHeight="1" x14ac:dyDescent="0.25">
      <c r="A2" s="975"/>
      <c r="B2" s="64"/>
      <c r="C2" s="65" t="s">
        <v>36</v>
      </c>
      <c r="D2" s="1051" t="s">
        <v>712</v>
      </c>
      <c r="E2" s="1052"/>
      <c r="F2" s="1052"/>
      <c r="G2" s="1052"/>
      <c r="H2" s="1053"/>
      <c r="I2" s="63"/>
      <c r="K2" s="268" t="s">
        <v>793</v>
      </c>
      <c r="L2" s="236"/>
      <c r="M2" s="236"/>
      <c r="N2" s="268">
        <f ca="1">CELL("ZEILE",G54)</f>
        <v>54</v>
      </c>
      <c r="O2" s="139"/>
      <c r="P2" s="139"/>
    </row>
    <row r="3" spans="1:24" ht="22.5" customHeight="1" x14ac:dyDescent="0.25">
      <c r="A3" s="975"/>
      <c r="B3" s="64"/>
      <c r="C3" s="89"/>
      <c r="D3" s="1055"/>
      <c r="E3" s="1056"/>
      <c r="F3" s="1056"/>
      <c r="G3" s="1056"/>
      <c r="H3" s="1057"/>
      <c r="I3" s="63"/>
      <c r="K3" s="268" t="s">
        <v>794</v>
      </c>
      <c r="L3" s="236"/>
      <c r="M3" s="236"/>
      <c r="N3" s="268">
        <f>F19</f>
        <v>0</v>
      </c>
      <c r="O3" s="139"/>
      <c r="P3" s="139"/>
    </row>
    <row r="4" spans="1:24" ht="17.25" customHeight="1" x14ac:dyDescent="0.25">
      <c r="A4" s="975"/>
      <c r="B4" s="64"/>
      <c r="C4" s="201" t="s">
        <v>200</v>
      </c>
      <c r="D4" s="19"/>
      <c r="E4" s="19"/>
      <c r="F4" s="19"/>
      <c r="G4" s="19"/>
      <c r="H4" s="93"/>
      <c r="I4" s="63"/>
      <c r="K4" s="139"/>
      <c r="L4" s="208"/>
      <c r="M4" s="208"/>
      <c r="N4" s="139"/>
      <c r="O4" s="139"/>
      <c r="P4" s="139"/>
      <c r="Q4" s="139"/>
      <c r="R4" s="210"/>
      <c r="S4" s="7"/>
    </row>
    <row r="5" spans="1:24" ht="17.25" customHeight="1" x14ac:dyDescent="0.25">
      <c r="A5" s="975"/>
      <c r="B5" s="64"/>
      <c r="C5" s="92"/>
      <c r="D5" s="97"/>
      <c r="E5" s="19"/>
      <c r="F5" s="19"/>
      <c r="G5" s="19"/>
      <c r="H5" s="93"/>
      <c r="I5" s="63"/>
      <c r="K5" s="139"/>
      <c r="L5" s="208"/>
      <c r="M5" s="208"/>
      <c r="N5" s="139"/>
      <c r="O5" s="139"/>
      <c r="P5" s="139"/>
      <c r="Q5" s="210" t="s">
        <v>870</v>
      </c>
      <c r="R5" s="210" t="s">
        <v>871</v>
      </c>
      <c r="S5" s="7"/>
    </row>
    <row r="6" spans="1:24" ht="17.25" customHeight="1" x14ac:dyDescent="0.25">
      <c r="A6" s="975"/>
      <c r="B6" s="64"/>
      <c r="C6" s="99" t="s">
        <v>189</v>
      </c>
      <c r="D6" s="131">
        <v>0</v>
      </c>
      <c r="E6" s="19" t="s">
        <v>196</v>
      </c>
      <c r="F6" s="100" t="s">
        <v>153</v>
      </c>
      <c r="G6" s="1054" t="s">
        <v>195</v>
      </c>
      <c r="H6" s="93"/>
      <c r="I6" s="63"/>
      <c r="K6" s="226">
        <f t="shared" ref="K6:K13" si="0">VLOOKUP(F6,$N$6:$O$7,2,FALSE)</f>
        <v>0.04</v>
      </c>
      <c r="L6" s="228">
        <f>IF(D6&gt;0,(K6*D6+6.5)*Gesamt!$E$14,0)</f>
        <v>0</v>
      </c>
      <c r="M6" s="901"/>
      <c r="N6" s="208" t="s">
        <v>152</v>
      </c>
      <c r="O6" s="208">
        <v>2.5000000000000001E-2</v>
      </c>
      <c r="P6" s="210"/>
      <c r="Q6" s="210">
        <f>IF(D6&gt;0,1,0)</f>
        <v>0</v>
      </c>
      <c r="R6" s="210">
        <f>IF(Q6=1,IF(F6="nein",0,1),0)</f>
        <v>0</v>
      </c>
      <c r="S6" s="7"/>
    </row>
    <row r="7" spans="1:24" ht="19.5" customHeight="1" x14ac:dyDescent="0.25">
      <c r="A7" s="975"/>
      <c r="B7" s="64"/>
      <c r="C7" s="99" t="s">
        <v>190</v>
      </c>
      <c r="D7" s="131">
        <v>0</v>
      </c>
      <c r="E7" s="19" t="s">
        <v>196</v>
      </c>
      <c r="F7" s="100" t="s">
        <v>153</v>
      </c>
      <c r="G7" s="1054"/>
      <c r="H7" s="93"/>
      <c r="I7" s="63"/>
      <c r="K7" s="226">
        <f t="shared" si="0"/>
        <v>0.04</v>
      </c>
      <c r="L7" s="228">
        <f>IF(D7&gt;0,(K7*D7+6.5)*Gesamt!$E$14,0)</f>
        <v>0</v>
      </c>
      <c r="M7" s="901"/>
      <c r="N7" s="208" t="s">
        <v>153</v>
      </c>
      <c r="O7" s="208">
        <v>0.04</v>
      </c>
      <c r="P7" s="210"/>
      <c r="Q7" s="210">
        <f t="shared" ref="Q7:Q13" si="1">IF(D7&gt;0,1,0)</f>
        <v>0</v>
      </c>
      <c r="R7" s="210">
        <f t="shared" ref="R7:R13" si="2">IF(Q7=1,IF(F7="nein",0,1),0)</f>
        <v>0</v>
      </c>
      <c r="S7" s="7"/>
    </row>
    <row r="8" spans="1:24" s="2" customFormat="1" ht="20.100000000000001" customHeight="1" x14ac:dyDescent="0.25">
      <c r="A8" s="975"/>
      <c r="B8" s="64"/>
      <c r="C8" s="99" t="s">
        <v>193</v>
      </c>
      <c r="D8" s="131">
        <v>0</v>
      </c>
      <c r="E8" s="19" t="s">
        <v>196</v>
      </c>
      <c r="F8" s="100" t="s">
        <v>153</v>
      </c>
      <c r="G8" s="1054"/>
      <c r="H8" s="93"/>
      <c r="I8" s="65"/>
      <c r="J8" s="28"/>
      <c r="K8" s="226">
        <f t="shared" si="0"/>
        <v>0.04</v>
      </c>
      <c r="L8" s="228">
        <f>IF(D8&gt;0,(K8*D8+6.5)*Gesamt!$E$14,0)</f>
        <v>0</v>
      </c>
      <c r="M8" s="901"/>
      <c r="N8" s="210"/>
      <c r="O8" s="142"/>
      <c r="P8" s="142"/>
      <c r="Q8" s="210">
        <f t="shared" si="1"/>
        <v>0</v>
      </c>
      <c r="R8" s="210">
        <f t="shared" si="2"/>
        <v>0</v>
      </c>
    </row>
    <row r="9" spans="1:24" s="2" customFormat="1" ht="20.100000000000001" customHeight="1" x14ac:dyDescent="0.25">
      <c r="A9" s="975"/>
      <c r="B9" s="64"/>
      <c r="C9" s="99" t="s">
        <v>192</v>
      </c>
      <c r="D9" s="131">
        <v>0</v>
      </c>
      <c r="E9" s="19" t="s">
        <v>196</v>
      </c>
      <c r="F9" s="100" t="s">
        <v>153</v>
      </c>
      <c r="G9" s="1054"/>
      <c r="H9" s="93"/>
      <c r="I9" s="64"/>
      <c r="J9" s="28"/>
      <c r="K9" s="226">
        <f t="shared" si="0"/>
        <v>0.04</v>
      </c>
      <c r="L9" s="228">
        <f>IF(D9&gt;0,(K9*D9+6.5)*Gesamt!$E$14,0)</f>
        <v>0</v>
      </c>
      <c r="M9" s="901"/>
      <c r="N9" s="210"/>
      <c r="O9" s="142"/>
      <c r="P9" s="142"/>
      <c r="Q9" s="210">
        <f t="shared" si="1"/>
        <v>0</v>
      </c>
      <c r="R9" s="210">
        <f t="shared" si="2"/>
        <v>0</v>
      </c>
      <c r="S9" s="902"/>
      <c r="T9" s="902"/>
      <c r="U9" s="902"/>
      <c r="V9" s="902"/>
      <c r="W9" s="902"/>
      <c r="X9" s="902"/>
    </row>
    <row r="10" spans="1:24" s="2" customFormat="1" ht="20.100000000000001" customHeight="1" x14ac:dyDescent="0.25">
      <c r="A10" s="975"/>
      <c r="B10" s="64"/>
      <c r="C10" s="99" t="s">
        <v>191</v>
      </c>
      <c r="D10" s="131">
        <v>0</v>
      </c>
      <c r="E10" s="19" t="s">
        <v>196</v>
      </c>
      <c r="F10" s="100" t="s">
        <v>153</v>
      </c>
      <c r="G10" s="1054"/>
      <c r="H10" s="93"/>
      <c r="I10" s="64"/>
      <c r="J10" s="28"/>
      <c r="K10" s="226">
        <f t="shared" si="0"/>
        <v>0.04</v>
      </c>
      <c r="L10" s="228">
        <f>IF(D10&gt;0,(K10*D10+6.5)*Gesamt!$E$14,0)</f>
        <v>0</v>
      </c>
      <c r="M10" s="901"/>
      <c r="N10" s="142"/>
      <c r="O10" s="142"/>
      <c r="P10" s="142"/>
      <c r="Q10" s="210">
        <f t="shared" si="1"/>
        <v>0</v>
      </c>
      <c r="R10" s="210">
        <f t="shared" si="2"/>
        <v>0</v>
      </c>
      <c r="T10" s="902"/>
      <c r="U10" s="902"/>
      <c r="V10" s="902"/>
      <c r="W10" s="902"/>
      <c r="X10" s="902"/>
    </row>
    <row r="11" spans="1:24" s="2" customFormat="1" ht="20.100000000000001" customHeight="1" x14ac:dyDescent="0.25">
      <c r="A11" s="975"/>
      <c r="B11" s="64"/>
      <c r="C11" s="97" t="s">
        <v>194</v>
      </c>
      <c r="D11" s="131">
        <v>0</v>
      </c>
      <c r="E11" s="19" t="s">
        <v>196</v>
      </c>
      <c r="F11" s="100" t="s">
        <v>153</v>
      </c>
      <c r="G11" s="1054"/>
      <c r="H11" s="93"/>
      <c r="I11" s="64"/>
      <c r="J11" s="28"/>
      <c r="K11" s="226">
        <f t="shared" si="0"/>
        <v>0.04</v>
      </c>
      <c r="L11" s="228">
        <f>IF(D11&gt;0,(K11*D11+6.5)*Gesamt!$E$14,0)</f>
        <v>0</v>
      </c>
      <c r="M11" s="901"/>
      <c r="N11" s="142"/>
      <c r="O11" s="142"/>
      <c r="P11" s="142"/>
      <c r="Q11" s="210">
        <f t="shared" si="1"/>
        <v>0</v>
      </c>
      <c r="R11" s="210">
        <f t="shared" si="2"/>
        <v>0</v>
      </c>
    </row>
    <row r="12" spans="1:24" s="2" customFormat="1" ht="20.100000000000001" customHeight="1" x14ac:dyDescent="0.25">
      <c r="A12" s="975"/>
      <c r="B12" s="64"/>
      <c r="C12" s="97" t="s">
        <v>197</v>
      </c>
      <c r="D12" s="131">
        <v>0</v>
      </c>
      <c r="E12" s="19" t="s">
        <v>196</v>
      </c>
      <c r="F12" s="100" t="s">
        <v>153</v>
      </c>
      <c r="G12" s="1054"/>
      <c r="H12" s="93"/>
      <c r="I12" s="65"/>
      <c r="J12" s="28"/>
      <c r="K12" s="226">
        <f t="shared" si="0"/>
        <v>0.04</v>
      </c>
      <c r="L12" s="228">
        <f>IF(D12&gt;0,(K12*D12+6.5)*Gesamt!$E$14,0)</f>
        <v>0</v>
      </c>
      <c r="M12" s="901"/>
      <c r="N12" s="142"/>
      <c r="O12" s="142"/>
      <c r="P12" s="142"/>
      <c r="Q12" s="210">
        <f t="shared" si="1"/>
        <v>0</v>
      </c>
      <c r="R12" s="210">
        <f t="shared" si="2"/>
        <v>0</v>
      </c>
    </row>
    <row r="13" spans="1:24" s="2" customFormat="1" ht="20.100000000000001" customHeight="1" x14ac:dyDescent="0.25">
      <c r="A13" s="975"/>
      <c r="B13" s="63"/>
      <c r="C13" s="705" t="s">
        <v>198</v>
      </c>
      <c r="D13" s="703">
        <v>0</v>
      </c>
      <c r="E13" s="19" t="s">
        <v>196</v>
      </c>
      <c r="F13" s="100" t="s">
        <v>153</v>
      </c>
      <c r="G13" s="1054"/>
      <c r="H13" s="93"/>
      <c r="I13" s="65"/>
      <c r="J13" s="28"/>
      <c r="K13" s="226">
        <f t="shared" si="0"/>
        <v>0.04</v>
      </c>
      <c r="L13" s="228">
        <f>IF(D13&gt;0,(K13*D13+6.5)*Gesamt!$E$14,0)</f>
        <v>0</v>
      </c>
      <c r="M13" s="901"/>
      <c r="N13" s="212"/>
      <c r="O13" s="142"/>
      <c r="P13" s="142"/>
      <c r="Q13" s="210">
        <f t="shared" si="1"/>
        <v>0</v>
      </c>
      <c r="R13" s="210">
        <f t="shared" si="2"/>
        <v>0</v>
      </c>
    </row>
    <row r="14" spans="1:24" s="2" customFormat="1" ht="20.100000000000001" customHeight="1" x14ac:dyDescent="0.25">
      <c r="A14" s="975"/>
      <c r="B14" s="64"/>
      <c r="C14" s="97" t="s">
        <v>199</v>
      </c>
      <c r="D14" s="207">
        <f>SUM(D6:D13)</f>
        <v>0</v>
      </c>
      <c r="E14" s="190" t="s">
        <v>196</v>
      </c>
      <c r="F14" s="190"/>
      <c r="G14" s="190"/>
      <c r="H14" s="93"/>
      <c r="I14" s="65"/>
      <c r="J14" s="28"/>
      <c r="L14" s="211">
        <f>SUM(L6:L13)</f>
        <v>0</v>
      </c>
      <c r="M14" s="903"/>
      <c r="N14" s="212"/>
      <c r="O14" s="142"/>
      <c r="P14" s="142" t="s">
        <v>872</v>
      </c>
      <c r="Q14" s="142">
        <f>SUM(Q6:Q13)</f>
        <v>0</v>
      </c>
      <c r="R14" s="142">
        <f>SUM(R6:R13)</f>
        <v>0</v>
      </c>
    </row>
    <row r="15" spans="1:24" s="2" customFormat="1" ht="20.100000000000001" customHeight="1" x14ac:dyDescent="0.25">
      <c r="A15" s="975"/>
      <c r="B15" s="64"/>
      <c r="C15" s="190"/>
      <c r="D15" s="190"/>
      <c r="E15" s="190"/>
      <c r="F15" s="1058" t="s">
        <v>201</v>
      </c>
      <c r="G15" s="1059"/>
      <c r="H15" s="1060"/>
      <c r="I15" s="232"/>
      <c r="J15" s="28"/>
      <c r="L15" s="211"/>
      <c r="M15" s="144"/>
      <c r="N15" s="212"/>
      <c r="O15" s="142"/>
      <c r="P15" s="142"/>
      <c r="Q15" s="142"/>
      <c r="R15" s="142">
        <f>IF(R14=0,2,IF(Q14=R14,1,3))</f>
        <v>2</v>
      </c>
    </row>
    <row r="16" spans="1:24" s="2" customFormat="1" ht="20.100000000000001" customHeight="1" x14ac:dyDescent="0.25">
      <c r="A16" s="975"/>
      <c r="B16" s="64"/>
      <c r="C16" s="99" t="s">
        <v>705</v>
      </c>
      <c r="D16" s="707"/>
      <c r="E16" s="19"/>
      <c r="F16" s="1061"/>
      <c r="G16" s="1062"/>
      <c r="H16" s="1063"/>
      <c r="I16" s="232"/>
      <c r="J16" s="28"/>
      <c r="K16" s="142"/>
      <c r="L16" s="212">
        <f>D16</f>
        <v>0</v>
      </c>
      <c r="M16" s="144"/>
      <c r="N16" s="212"/>
      <c r="O16" s="142"/>
      <c r="P16" s="142"/>
      <c r="Q16" s="142"/>
      <c r="R16" s="142"/>
    </row>
    <row r="17" spans="1:19" s="2" customFormat="1" ht="20.100000000000001" customHeight="1" x14ac:dyDescent="0.25">
      <c r="A17" s="975"/>
      <c r="B17" s="64"/>
      <c r="C17" s="97"/>
      <c r="D17" s="19"/>
      <c r="E17" s="19"/>
      <c r="F17" s="1064"/>
      <c r="G17" s="1065"/>
      <c r="H17" s="1066"/>
      <c r="I17" s="232"/>
      <c r="J17" s="28"/>
      <c r="K17" s="142"/>
      <c r="L17" s="212">
        <f>SUM(L14,L16)</f>
        <v>0</v>
      </c>
      <c r="M17" s="144"/>
      <c r="N17" s="212"/>
      <c r="O17" s="142"/>
      <c r="P17" s="142"/>
      <c r="Q17" s="142" t="s">
        <v>861</v>
      </c>
      <c r="R17" s="142"/>
    </row>
    <row r="18" spans="1:19" s="2" customFormat="1" ht="20.100000000000001" customHeight="1" x14ac:dyDescent="0.25">
      <c r="A18" s="975"/>
      <c r="B18" s="64"/>
      <c r="C18" s="64"/>
      <c r="D18" s="203"/>
      <c r="E18" s="203"/>
      <c r="F18" s="203"/>
      <c r="G18" s="203"/>
      <c r="H18" s="204"/>
      <c r="I18" s="63"/>
      <c r="J18" s="28"/>
      <c r="K18" s="140"/>
      <c r="L18" s="144"/>
      <c r="M18" s="144"/>
      <c r="N18" s="143"/>
      <c r="O18" s="142"/>
      <c r="P18" s="142"/>
      <c r="Q18" s="138">
        <v>1</v>
      </c>
      <c r="R18" s="138" t="s">
        <v>868</v>
      </c>
      <c r="S18"/>
    </row>
    <row r="19" spans="1:19" ht="19.5" customHeight="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7">
        <f>IF(AND(D6&lt;0.01,D7&lt;0.01,D8&lt;0.01,D9&lt;0.01,D10&lt;0.01,D11&lt;0.01,D12&lt;0.01,D13&lt;0.01),0,1)</f>
        <v>0</v>
      </c>
      <c r="G19" s="999" t="str">
        <f>IF(F19&lt;&gt;0, L17,"")</f>
        <v/>
      </c>
      <c r="H19" s="999"/>
      <c r="I19" s="63"/>
      <c r="K19" s="137"/>
      <c r="M19" s="136"/>
      <c r="Q19" s="138">
        <v>2</v>
      </c>
      <c r="R19" s="138" t="s">
        <v>869</v>
      </c>
    </row>
    <row r="20" spans="1:19" ht="19.5" customHeight="1" x14ac:dyDescent="0.25">
      <c r="A20" s="975"/>
      <c r="B20" s="63"/>
      <c r="C20" s="63"/>
      <c r="D20" s="63"/>
      <c r="E20" s="63"/>
      <c r="F20" s="63"/>
      <c r="G20" s="63"/>
      <c r="H20" s="63"/>
      <c r="I20" s="63"/>
      <c r="Q20" s="138">
        <v>3</v>
      </c>
      <c r="R20" s="138" t="str">
        <f>CONCATENATE(R18,"     (genehmigter Plan)",CHAR(10),R19,"    (kein genehmigter Plan)")</f>
        <v>H = (0,025 F+ 6,5) * IS + N     (genehmigter Plan)
H = (0,040 F + 6,5) * IS + N    (kein genehmigter Plan)</v>
      </c>
    </row>
    <row r="21" spans="1:19" x14ac:dyDescent="0.25">
      <c r="A21" s="973" t="s">
        <v>72</v>
      </c>
    </row>
    <row r="22" spans="1:19" ht="15" customHeight="1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  <c r="K22" s="210"/>
      <c r="L22" s="904"/>
      <c r="M22" s="210"/>
      <c r="N22" s="210"/>
      <c r="O22" s="210"/>
      <c r="P22" s="210"/>
    </row>
    <row r="23" spans="1:19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  <c r="K23" s="210"/>
      <c r="L23" s="210"/>
      <c r="M23" s="210"/>
      <c r="N23" s="210"/>
      <c r="O23" s="210"/>
      <c r="P23" s="210"/>
    </row>
    <row r="24" spans="1:19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9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9" ht="18.75" x14ac:dyDescent="0.25">
      <c r="A26" s="973"/>
      <c r="Q26" s="147"/>
      <c r="R26" s="147"/>
      <c r="S26" s="195"/>
    </row>
    <row r="27" spans="1:19" s="195" customFormat="1" ht="23.25" customHeight="1" x14ac:dyDescent="0.25">
      <c r="A27" s="973"/>
      <c r="B27" s="968" t="str">
        <f>CONCATENATE(D2)</f>
        <v>NUTZFLÄCHENERMITTLUNG</v>
      </c>
      <c r="C27" s="994"/>
      <c r="D27" s="994"/>
      <c r="E27" s="994"/>
      <c r="F27" s="994"/>
      <c r="G27" s="994"/>
      <c r="H27" s="994"/>
      <c r="I27" s="994"/>
      <c r="J27" s="29"/>
      <c r="K27" s="145"/>
      <c r="L27" s="146"/>
      <c r="M27" s="146"/>
      <c r="N27" s="147"/>
      <c r="O27" s="147"/>
      <c r="P27" s="147"/>
      <c r="Q27" s="138"/>
      <c r="R27" s="138"/>
      <c r="S27"/>
    </row>
    <row r="28" spans="1:19" x14ac:dyDescent="0.25">
      <c r="A28" s="973"/>
      <c r="C28" s="45"/>
      <c r="D28" s="45"/>
      <c r="E28" s="45"/>
      <c r="F28" s="45"/>
      <c r="G28" s="45"/>
      <c r="H28" s="45"/>
    </row>
    <row r="29" spans="1:19" x14ac:dyDescent="0.25">
      <c r="A29" s="973"/>
      <c r="C29" s="45" t="s">
        <v>784</v>
      </c>
      <c r="D29" s="45"/>
      <c r="E29" s="45"/>
      <c r="F29" s="45"/>
      <c r="G29" s="45"/>
      <c r="H29" s="45"/>
    </row>
    <row r="30" spans="1:19" x14ac:dyDescent="0.25">
      <c r="A30" s="973"/>
      <c r="C30" s="45"/>
      <c r="D30" s="45"/>
      <c r="E30" s="45"/>
      <c r="F30" s="45"/>
      <c r="G30" s="45"/>
      <c r="H30" s="45"/>
    </row>
    <row r="31" spans="1:19" x14ac:dyDescent="0.25">
      <c r="A31" s="973"/>
      <c r="C31" s="45" t="s">
        <v>46</v>
      </c>
      <c r="D31" s="45"/>
      <c r="E31" s="367">
        <f>Gesamt!E14</f>
        <v>79.08</v>
      </c>
      <c r="F31" s="45"/>
      <c r="G31" s="45"/>
      <c r="H31" s="45"/>
    </row>
    <row r="32" spans="1:19" x14ac:dyDescent="0.25">
      <c r="A32" s="973"/>
      <c r="B32" s="425"/>
      <c r="C32" s="473"/>
      <c r="D32" s="473"/>
      <c r="E32" s="367"/>
      <c r="F32" s="473"/>
      <c r="G32" s="473"/>
      <c r="H32" s="473"/>
      <c r="I32" s="425"/>
    </row>
    <row r="33" spans="1:19" ht="15" customHeight="1" x14ac:dyDescent="0.25">
      <c r="A33" s="973"/>
      <c r="B33" s="425"/>
      <c r="C33" s="1068" t="str">
        <f>VLOOKUP(R15,Q18:R20,2)</f>
        <v>H = (0,040 F + 6,5) * IS + N</v>
      </c>
      <c r="D33" s="1068"/>
      <c r="E33" s="1068"/>
      <c r="F33" s="1068"/>
      <c r="G33" s="1068"/>
      <c r="H33" s="1068"/>
      <c r="I33" s="425"/>
    </row>
    <row r="34" spans="1:19" x14ac:dyDescent="0.25">
      <c r="A34" s="973"/>
      <c r="C34" s="1068"/>
      <c r="D34" s="1068"/>
      <c r="E34" s="1068"/>
      <c r="F34" s="1068"/>
      <c r="G34" s="1068"/>
      <c r="H34" s="1068"/>
    </row>
    <row r="35" spans="1:19" x14ac:dyDescent="0.25">
      <c r="A35" s="973"/>
      <c r="C35" s="155"/>
      <c r="D35" s="45"/>
      <c r="E35" s="45"/>
      <c r="F35" s="45"/>
      <c r="G35" s="45"/>
      <c r="H35" s="45"/>
    </row>
    <row r="36" spans="1:19" x14ac:dyDescent="0.25">
      <c r="A36" s="973"/>
      <c r="C36" s="1067" t="s">
        <v>200</v>
      </c>
      <c r="D36" s="1067"/>
      <c r="E36" s="45"/>
      <c r="F36" s="45" t="s">
        <v>202</v>
      </c>
      <c r="G36" s="45"/>
      <c r="H36" s="45"/>
    </row>
    <row r="37" spans="1:19" x14ac:dyDescent="0.25">
      <c r="A37" s="973"/>
      <c r="C37" s="135"/>
      <c r="D37" s="45"/>
      <c r="E37" s="45"/>
      <c r="F37" s="45"/>
      <c r="G37" s="45"/>
      <c r="H37" s="45"/>
    </row>
    <row r="38" spans="1:19" x14ac:dyDescent="0.25">
      <c r="A38" s="973"/>
      <c r="B38" s="22"/>
      <c r="C38" s="214" t="str">
        <f>IF(D6&gt;0,C6,"")</f>
        <v/>
      </c>
      <c r="D38" s="233" t="str">
        <f>IF(D6&gt;0,D6,"")</f>
        <v/>
      </c>
      <c r="E38" s="194"/>
      <c r="F38" s="237" t="str">
        <f>IF(D6&gt;0,F6,"")</f>
        <v/>
      </c>
      <c r="G38" s="156"/>
      <c r="H38" s="156"/>
      <c r="I38" s="22"/>
    </row>
    <row r="39" spans="1:19" x14ac:dyDescent="0.25">
      <c r="A39" s="973"/>
      <c r="B39" s="22"/>
      <c r="C39" s="214" t="str">
        <f t="shared" ref="C39:C45" si="3">IF(D7&gt;0,C7,"")</f>
        <v/>
      </c>
      <c r="D39" s="233" t="str">
        <f t="shared" ref="D39:D45" si="4">IF(D7&gt;0,D7,"")</f>
        <v/>
      </c>
      <c r="E39" s="194"/>
      <c r="F39" s="237" t="str">
        <f t="shared" ref="F39:F45" si="5">IF(D7&gt;0,F7,"")</f>
        <v/>
      </c>
      <c r="G39" s="45"/>
      <c r="H39" s="45"/>
      <c r="I39" s="22"/>
    </row>
    <row r="40" spans="1:19" x14ac:dyDescent="0.25">
      <c r="A40" s="973"/>
      <c r="C40" s="214" t="str">
        <f t="shared" si="3"/>
        <v/>
      </c>
      <c r="D40" s="233" t="str">
        <f t="shared" si="4"/>
        <v/>
      </c>
      <c r="E40" s="194"/>
      <c r="F40" s="237" t="str">
        <f t="shared" si="5"/>
        <v/>
      </c>
      <c r="G40" s="45"/>
      <c r="H40" s="45"/>
      <c r="J40" s="30"/>
    </row>
    <row r="41" spans="1:19" x14ac:dyDescent="0.25">
      <c r="A41" s="973"/>
      <c r="C41" s="214" t="str">
        <f t="shared" si="3"/>
        <v/>
      </c>
      <c r="D41" s="233" t="str">
        <f t="shared" si="4"/>
        <v/>
      </c>
      <c r="E41" s="194"/>
      <c r="F41" s="237" t="str">
        <f t="shared" si="5"/>
        <v/>
      </c>
      <c r="G41" s="45"/>
      <c r="H41" s="45"/>
      <c r="J41" s="30"/>
    </row>
    <row r="42" spans="1:19" x14ac:dyDescent="0.25">
      <c r="A42" s="973"/>
      <c r="C42" s="214" t="str">
        <f t="shared" si="3"/>
        <v/>
      </c>
      <c r="D42" s="233" t="str">
        <f t="shared" si="4"/>
        <v/>
      </c>
      <c r="E42" s="194"/>
      <c r="F42" s="237" t="str">
        <f t="shared" si="5"/>
        <v/>
      </c>
      <c r="G42" s="196"/>
      <c r="H42" s="196"/>
      <c r="J42" s="30"/>
    </row>
    <row r="43" spans="1:19" x14ac:dyDescent="0.25">
      <c r="A43" s="973"/>
      <c r="C43" s="214" t="str">
        <f t="shared" si="3"/>
        <v/>
      </c>
      <c r="D43" s="233" t="str">
        <f t="shared" si="4"/>
        <v/>
      </c>
      <c r="E43" s="194"/>
      <c r="F43" s="237" t="str">
        <f t="shared" si="5"/>
        <v/>
      </c>
      <c r="G43" s="154"/>
      <c r="H43" s="155"/>
      <c r="J43" s="30"/>
    </row>
    <row r="44" spans="1:19" x14ac:dyDescent="0.25">
      <c r="A44" s="973"/>
      <c r="C44" s="214" t="str">
        <f t="shared" si="3"/>
        <v/>
      </c>
      <c r="D44" s="233" t="str">
        <f t="shared" si="4"/>
        <v/>
      </c>
      <c r="E44" s="194"/>
      <c r="F44" s="237" t="str">
        <f t="shared" si="5"/>
        <v/>
      </c>
      <c r="G44" s="154"/>
      <c r="H44" s="155"/>
    </row>
    <row r="45" spans="1:19" x14ac:dyDescent="0.25">
      <c r="A45" s="973"/>
      <c r="C45" s="229" t="str">
        <f t="shared" si="3"/>
        <v/>
      </c>
      <c r="D45" s="234" t="str">
        <f t="shared" si="4"/>
        <v/>
      </c>
      <c r="E45" s="230"/>
      <c r="F45" s="238" t="str">
        <f t="shared" si="5"/>
        <v/>
      </c>
      <c r="G45" s="217"/>
      <c r="H45" s="231"/>
      <c r="K45" s="171"/>
    </row>
    <row r="46" spans="1:19" x14ac:dyDescent="0.25">
      <c r="A46" s="973"/>
      <c r="C46" s="214" t="s">
        <v>199</v>
      </c>
      <c r="D46" s="235">
        <f>SUM(D38:D45)</f>
        <v>0</v>
      </c>
      <c r="E46" s="194"/>
      <c r="G46" s="156"/>
      <c r="H46" s="215"/>
      <c r="K46" s="171"/>
      <c r="Q46" s="149"/>
      <c r="R46" s="149"/>
      <c r="S46" s="3"/>
    </row>
    <row r="47" spans="1:19" s="3" customFormat="1" x14ac:dyDescent="0.25">
      <c r="A47" s="973"/>
      <c r="B47"/>
      <c r="C47" s="45"/>
      <c r="D47" s="42"/>
      <c r="E47" s="185"/>
      <c r="F47" s="186"/>
      <c r="G47" s="42"/>
      <c r="H47" s="45"/>
      <c r="I47"/>
      <c r="J47" s="33"/>
      <c r="K47" s="172"/>
      <c r="L47" s="148"/>
      <c r="M47" s="148"/>
      <c r="N47" s="149"/>
      <c r="O47" s="149"/>
      <c r="P47" s="149"/>
      <c r="Q47" s="138"/>
      <c r="R47" s="138"/>
      <c r="S47"/>
    </row>
    <row r="48" spans="1:19" x14ac:dyDescent="0.25">
      <c r="A48" s="973"/>
      <c r="G48" s="45"/>
      <c r="H48" s="45"/>
      <c r="K48" s="171"/>
    </row>
    <row r="49" spans="1:19" x14ac:dyDescent="0.25">
      <c r="A49" s="973"/>
      <c r="B49" s="3"/>
      <c r="C49" s="45" t="s">
        <v>64</v>
      </c>
      <c r="D49" s="45"/>
      <c r="E49" s="45"/>
      <c r="F49" s="170">
        <f>IF(F19&lt;&gt;0,ROUND(L14,2),0)</f>
        <v>0</v>
      </c>
      <c r="G49" s="45"/>
      <c r="H49" s="45"/>
      <c r="I49" s="3"/>
    </row>
    <row r="50" spans="1:19" x14ac:dyDescent="0.25">
      <c r="A50" s="973"/>
    </row>
    <row r="51" spans="1:19" x14ac:dyDescent="0.25">
      <c r="A51" s="973"/>
      <c r="C51" s="45" t="str">
        <f>IF(L16&gt;0,"Nebenkosten:","")</f>
        <v/>
      </c>
      <c r="D51" s="45"/>
      <c r="E51" s="45"/>
      <c r="F51" s="170" t="str">
        <f>IF(L16&gt;0,ROUND(L16,2),"")</f>
        <v/>
      </c>
      <c r="G51" s="45"/>
      <c r="H51" s="45"/>
    </row>
    <row r="52" spans="1:19" x14ac:dyDescent="0.25">
      <c r="A52" s="973"/>
      <c r="C52" s="221"/>
      <c r="D52" s="221"/>
      <c r="E52" s="221"/>
      <c r="F52" s="222"/>
      <c r="G52" s="221"/>
      <c r="H52" s="221"/>
    </row>
    <row r="53" spans="1:19" ht="15.75" x14ac:dyDescent="0.25">
      <c r="A53" s="973"/>
      <c r="C53" s="45" t="str">
        <f>IF(E18&gt;0,"Nebenkosten:","")</f>
        <v/>
      </c>
      <c r="D53" s="45"/>
      <c r="E53" s="45"/>
      <c r="F53" s="170" t="str">
        <f>IF(E18&gt;0,ROUND(E18,2),"")</f>
        <v/>
      </c>
      <c r="G53" s="45"/>
      <c r="H53" s="45"/>
      <c r="Q53" s="169"/>
      <c r="R53" s="169"/>
      <c r="S53" s="15"/>
    </row>
    <row r="54" spans="1:19" s="15" customFormat="1" ht="15.75" x14ac:dyDescent="0.25">
      <c r="A54" s="973"/>
      <c r="B54"/>
      <c r="C54" s="445" t="s">
        <v>71</v>
      </c>
      <c r="D54" s="159"/>
      <c r="E54" s="159"/>
      <c r="F54" s="165"/>
      <c r="G54" s="967">
        <f>IF(F19,SUM(F49:F51),0)</f>
        <v>0</v>
      </c>
      <c r="H54" s="967"/>
      <c r="I54"/>
      <c r="J54" s="166"/>
      <c r="K54" s="167"/>
      <c r="L54" s="168"/>
      <c r="M54" s="168"/>
      <c r="N54" s="169"/>
      <c r="O54" s="169"/>
      <c r="P54" s="169"/>
      <c r="Q54" s="138"/>
      <c r="R54" s="138"/>
      <c r="S54"/>
    </row>
    <row r="55" spans="1:19" x14ac:dyDescent="0.25">
      <c r="A55" s="973"/>
      <c r="C55" s="135" t="str">
        <f>IF(O15&lt;&gt;0,"ohne Höhenschichtenlinien (-10%):","")</f>
        <v/>
      </c>
      <c r="D55" s="45"/>
      <c r="E55" s="154"/>
      <c r="F55" s="170" t="str">
        <f>IF(O15&lt;&gt;0,ROUND(O15,2),"")</f>
        <v/>
      </c>
      <c r="G55" s="45"/>
      <c r="H55" s="45"/>
    </row>
    <row r="56" spans="1:19" ht="15.75" x14ac:dyDescent="0.25">
      <c r="A56" s="973"/>
      <c r="B56" s="15"/>
      <c r="C56" s="47" t="str">
        <f>IF(O16&lt;&gt;0,"Höhenkoten nicht freistellen (-5%):","")</f>
        <v/>
      </c>
      <c r="D56" s="215"/>
      <c r="E56" s="176"/>
      <c r="F56" s="223" t="str">
        <f>IF(O16&lt;&gt;0,ROUND(O16,2),"")</f>
        <v/>
      </c>
      <c r="G56" s="215"/>
      <c r="H56" s="215"/>
      <c r="I56" s="15"/>
    </row>
    <row r="57" spans="1:19" x14ac:dyDescent="0.25">
      <c r="A57" s="973"/>
      <c r="C57" s="215"/>
      <c r="D57" s="215"/>
      <c r="E57" s="215"/>
      <c r="F57" s="215"/>
      <c r="G57" s="215"/>
      <c r="H57" s="215"/>
    </row>
    <row r="58" spans="1:19" ht="15.75" x14ac:dyDescent="0.25">
      <c r="A58" s="973"/>
      <c r="C58" s="15"/>
      <c r="D58" s="159"/>
      <c r="E58" s="159"/>
      <c r="F58" s="165"/>
      <c r="G58" s="966"/>
      <c r="H58" s="966"/>
    </row>
    <row r="59" spans="1:19" ht="15.75" x14ac:dyDescent="0.25">
      <c r="A59" s="973"/>
      <c r="C59" s="45"/>
      <c r="D59" s="45"/>
      <c r="E59" s="45"/>
      <c r="F59" s="154"/>
      <c r="G59" s="45"/>
      <c r="H59" s="45"/>
      <c r="Q59" s="152"/>
      <c r="R59" s="152"/>
      <c r="S59" s="25"/>
    </row>
    <row r="60" spans="1:19" s="25" customFormat="1" ht="15.75" x14ac:dyDescent="0.25">
      <c r="A60" s="973"/>
      <c r="B60"/>
      <c r="C60" s="45"/>
      <c r="D60" s="45"/>
      <c r="E60" s="160"/>
      <c r="F60" s="158"/>
      <c r="G60" s="155"/>
      <c r="H60" s="45"/>
      <c r="I60"/>
      <c r="J60" s="31"/>
      <c r="K60" s="150"/>
      <c r="L60" s="151"/>
      <c r="M60" s="151"/>
      <c r="N60" s="152"/>
      <c r="O60" s="152"/>
      <c r="P60" s="152"/>
      <c r="Q60" s="138"/>
      <c r="R60" s="138"/>
      <c r="S60"/>
    </row>
    <row r="61" spans="1:19" x14ac:dyDescent="0.25">
      <c r="A61" s="973"/>
      <c r="C61" s="45"/>
      <c r="D61" s="45"/>
      <c r="E61" s="45"/>
      <c r="F61" s="154"/>
      <c r="G61" s="155"/>
      <c r="H61" s="45"/>
    </row>
    <row r="62" spans="1:19" ht="15.75" x14ac:dyDescent="0.25">
      <c r="A62" s="973"/>
      <c r="B62" s="25"/>
      <c r="C62" s="45"/>
      <c r="D62" s="45"/>
      <c r="E62" s="45"/>
      <c r="F62" s="158"/>
      <c r="G62" s="155"/>
      <c r="H62" s="45"/>
      <c r="I62" s="25"/>
    </row>
    <row r="63" spans="1:19" x14ac:dyDescent="0.25">
      <c r="A63" s="973"/>
      <c r="C63" s="45"/>
      <c r="D63" s="45"/>
      <c r="E63" s="45"/>
      <c r="F63" s="45"/>
      <c r="G63" s="45"/>
      <c r="H63" s="45"/>
    </row>
    <row r="64" spans="1:19" x14ac:dyDescent="0.25">
      <c r="A64" s="973"/>
      <c r="C64" s="45"/>
      <c r="D64" s="45"/>
      <c r="E64" s="45"/>
      <c r="F64" s="45"/>
      <c r="G64" s="45"/>
      <c r="H64" s="45"/>
    </row>
    <row r="65" spans="1:8" x14ac:dyDescent="0.25">
      <c r="A65" s="973"/>
      <c r="C65" s="161"/>
      <c r="D65" s="161"/>
      <c r="E65" s="161"/>
      <c r="F65" s="161"/>
      <c r="G65" s="161"/>
      <c r="H65" s="162"/>
    </row>
    <row r="66" spans="1:8" x14ac:dyDescent="0.25">
      <c r="A66" s="973"/>
      <c r="C66" s="45"/>
      <c r="D66" s="45"/>
      <c r="E66" s="45"/>
      <c r="F66" s="45"/>
      <c r="G66" s="45"/>
      <c r="H66" s="45"/>
    </row>
    <row r="67" spans="1:8" x14ac:dyDescent="0.25">
      <c r="A67" s="973"/>
    </row>
    <row r="68" spans="1:8" x14ac:dyDescent="0.25">
      <c r="A68" s="973"/>
    </row>
  </sheetData>
  <mergeCells count="16">
    <mergeCell ref="A21:A68"/>
    <mergeCell ref="B22:I22"/>
    <mergeCell ref="B23:I23"/>
    <mergeCell ref="B24:I24"/>
    <mergeCell ref="B25:I25"/>
    <mergeCell ref="C36:D36"/>
    <mergeCell ref="B27:I27"/>
    <mergeCell ref="G54:H54"/>
    <mergeCell ref="G58:H58"/>
    <mergeCell ref="C33:H34"/>
    <mergeCell ref="G6:G13"/>
    <mergeCell ref="A1:A20"/>
    <mergeCell ref="D2:H2"/>
    <mergeCell ref="D3:H3"/>
    <mergeCell ref="G19:H19"/>
    <mergeCell ref="F15:H17"/>
  </mergeCells>
  <dataValidations count="1">
    <dataValidation type="list" allowBlank="1" showInputMessage="1" showErrorMessage="1" sqref="F6:F13">
      <formula1>$N$6:$N$7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zoomScaleSheetLayoutView="100" workbookViewId="0">
      <selection activeCell="E6" sqref="E6:F6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  <col min="10" max="10" width="8.7109375" style="27" customWidth="1"/>
    <col min="11" max="11" width="11.42578125" style="136"/>
    <col min="12" max="13" width="11.42578125" style="137"/>
    <col min="14" max="18" width="11.42578125" style="138"/>
  </cols>
  <sheetData>
    <row r="1" spans="1:19" ht="17.25" customHeight="1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N1" s="210">
        <f ca="1">CELL("ZEILE",B27)</f>
        <v>27</v>
      </c>
    </row>
    <row r="2" spans="1:19" ht="22.5" customHeight="1" x14ac:dyDescent="0.25">
      <c r="A2" s="975"/>
      <c r="B2" s="64"/>
      <c r="C2" s="65" t="s">
        <v>36</v>
      </c>
      <c r="D2" s="1051" t="s">
        <v>713</v>
      </c>
      <c r="E2" s="1052"/>
      <c r="F2" s="1052"/>
      <c r="G2" s="1052"/>
      <c r="H2" s="1053"/>
      <c r="I2" s="63"/>
      <c r="K2" s="268" t="s">
        <v>793</v>
      </c>
      <c r="L2" s="236"/>
      <c r="M2" s="236"/>
      <c r="N2" s="268">
        <f ca="1">CELL("ZEILE",G54)</f>
        <v>54</v>
      </c>
      <c r="O2" s="139"/>
      <c r="P2" s="139"/>
    </row>
    <row r="3" spans="1:19" ht="22.5" customHeight="1" x14ac:dyDescent="0.25">
      <c r="A3" s="975"/>
      <c r="B3" s="64"/>
      <c r="C3" s="89"/>
      <c r="D3" s="1055"/>
      <c r="E3" s="1056"/>
      <c r="F3" s="1056"/>
      <c r="G3" s="1056"/>
      <c r="H3" s="1057"/>
      <c r="I3" s="63"/>
      <c r="K3" s="268" t="s">
        <v>794</v>
      </c>
      <c r="L3" s="236"/>
      <c r="M3" s="236"/>
      <c r="N3" s="268">
        <f>F19</f>
        <v>0</v>
      </c>
      <c r="O3" s="139"/>
      <c r="P3" s="139"/>
    </row>
    <row r="4" spans="1:19" ht="17.25" customHeight="1" x14ac:dyDescent="0.25">
      <c r="A4" s="975"/>
      <c r="B4" s="64"/>
      <c r="C4" s="201"/>
      <c r="D4" s="19"/>
      <c r="E4" s="19"/>
      <c r="F4" s="19"/>
      <c r="G4" s="19"/>
      <c r="H4" s="19"/>
      <c r="I4" s="63"/>
      <c r="K4" s="139"/>
      <c r="L4" s="208"/>
      <c r="M4" s="208"/>
      <c r="N4" s="139"/>
      <c r="O4" s="139"/>
      <c r="P4" s="139"/>
      <c r="Q4" s="139"/>
      <c r="R4" s="210"/>
      <c r="S4" s="7"/>
    </row>
    <row r="5" spans="1:19" ht="17.25" customHeight="1" x14ac:dyDescent="0.25">
      <c r="A5" s="975"/>
      <c r="B5" s="64"/>
      <c r="C5" s="92"/>
      <c r="D5" s="97" t="s">
        <v>203</v>
      </c>
      <c r="E5" s="19"/>
      <c r="F5" s="19"/>
      <c r="G5" s="18"/>
      <c r="H5" s="19"/>
      <c r="I5" s="63"/>
      <c r="K5" s="379" t="s">
        <v>209</v>
      </c>
      <c r="L5" s="208"/>
      <c r="M5" s="208"/>
      <c r="N5" s="139"/>
      <c r="O5" s="139"/>
      <c r="P5" s="139"/>
      <c r="Q5" s="210"/>
      <c r="R5" s="210"/>
      <c r="S5" s="7"/>
    </row>
    <row r="6" spans="1:19" ht="17.25" customHeight="1" x14ac:dyDescent="0.25">
      <c r="A6" s="975"/>
      <c r="B6" s="64"/>
      <c r="C6" s="99"/>
      <c r="D6" s="242" t="s">
        <v>718</v>
      </c>
      <c r="E6" s="1069">
        <v>0</v>
      </c>
      <c r="F6" s="1069"/>
      <c r="G6" s="1072" t="str">
        <f>IF(AND(E10&lt;500,E10&gt;0),"Gesamtflächen unter 500m² können nach Zeit- und Sachaufwand verrechnet werden.","")</f>
        <v/>
      </c>
      <c r="H6" s="1073"/>
      <c r="I6" s="63"/>
      <c r="K6" s="377">
        <f>IF($E$10&gt;=500,VLOOKUP($E$12,Konstante!$F$83:$Q$85,VLOOKUP($E$10,Konstante!$C$82:$D$91,2,TRUE),FALSE),0)</f>
        <v>0</v>
      </c>
      <c r="L6" s="378" t="e">
        <f>VLOOKUP($E$10,Konstante!$C$82:$D$91,1)</f>
        <v>#N/A</v>
      </c>
      <c r="N6" s="210"/>
      <c r="O6" s="210"/>
      <c r="P6" s="210"/>
      <c r="Q6" s="210"/>
      <c r="R6" s="210"/>
      <c r="S6" s="7"/>
    </row>
    <row r="7" spans="1:19" ht="19.5" customHeight="1" x14ac:dyDescent="0.25">
      <c r="A7" s="975"/>
      <c r="B7" s="64"/>
      <c r="C7" s="99"/>
      <c r="D7" s="242" t="s">
        <v>719</v>
      </c>
      <c r="E7" s="1069">
        <v>0</v>
      </c>
      <c r="F7" s="1069"/>
      <c r="G7" s="1072"/>
      <c r="H7" s="1073"/>
      <c r="I7" s="63"/>
      <c r="K7" s="377">
        <f>IF($E$10&gt;=500,VLOOKUP($E$12,Konstante!$F$83:$Q$85,VLOOKUP($E$10,Konstante!$C$82:$D$91,2,TRUE)+1,FALSE),0)</f>
        <v>0</v>
      </c>
      <c r="L7" s="378" t="e">
        <f ca="1">INDIRECT(CONCATENATE("Konstante!","C",VLOOKUP(E10,Konstante!C82:E91,3)))</f>
        <v>#N/A</v>
      </c>
      <c r="N7" s="210"/>
      <c r="O7" s="210"/>
      <c r="P7" s="210"/>
      <c r="Q7" s="210"/>
      <c r="R7" s="210"/>
      <c r="S7" s="7"/>
    </row>
    <row r="8" spans="1:19" s="2" customFormat="1" ht="20.100000000000001" customHeight="1" x14ac:dyDescent="0.25">
      <c r="A8" s="975"/>
      <c r="B8" s="64"/>
      <c r="C8" s="99"/>
      <c r="D8" s="242" t="s">
        <v>720</v>
      </c>
      <c r="E8" s="1069">
        <v>0</v>
      </c>
      <c r="F8" s="1069"/>
      <c r="G8" s="1072"/>
      <c r="H8" s="1073"/>
      <c r="I8" s="65"/>
      <c r="J8" s="28"/>
      <c r="K8" s="226"/>
      <c r="L8" s="228"/>
      <c r="M8" s="137"/>
      <c r="N8" s="210"/>
      <c r="O8" s="142"/>
      <c r="P8" s="142"/>
      <c r="Q8" s="142"/>
      <c r="R8" s="142"/>
    </row>
    <row r="9" spans="1:19" s="2" customFormat="1" ht="20.100000000000001" customHeight="1" x14ac:dyDescent="0.25">
      <c r="A9" s="975"/>
      <c r="B9" s="64"/>
      <c r="C9" s="705"/>
      <c r="D9" s="706" t="s">
        <v>204</v>
      </c>
      <c r="E9" s="1070">
        <v>0</v>
      </c>
      <c r="F9" s="1070"/>
      <c r="G9" s="1072"/>
      <c r="H9" s="1073"/>
      <c r="I9" s="64"/>
      <c r="J9" s="28"/>
      <c r="K9" s="226"/>
      <c r="L9" s="228"/>
      <c r="M9" s="137"/>
      <c r="N9" s="210"/>
      <c r="O9" s="142"/>
      <c r="P9" s="142"/>
      <c r="Q9" s="142"/>
      <c r="R9" s="142"/>
    </row>
    <row r="10" spans="1:19" s="2" customFormat="1" ht="20.100000000000001" customHeight="1" x14ac:dyDescent="0.25">
      <c r="A10" s="975"/>
      <c r="B10" s="64"/>
      <c r="C10" s="99"/>
      <c r="D10" s="97" t="s">
        <v>199</v>
      </c>
      <c r="E10" s="1071">
        <f>SUM(E6:F9)</f>
        <v>0</v>
      </c>
      <c r="F10" s="1071"/>
      <c r="G10" s="19"/>
      <c r="H10" s="19"/>
      <c r="I10" s="64"/>
      <c r="J10" s="28"/>
      <c r="K10" s="226"/>
      <c r="L10" s="228"/>
      <c r="M10" s="137"/>
      <c r="N10" s="142"/>
      <c r="O10" s="142"/>
      <c r="P10" s="142"/>
      <c r="Q10" s="142"/>
      <c r="R10" s="142"/>
    </row>
    <row r="11" spans="1:19" s="2" customFormat="1" ht="20.100000000000001" customHeight="1" x14ac:dyDescent="0.25">
      <c r="A11" s="975"/>
      <c r="B11" s="64"/>
      <c r="C11" s="97"/>
      <c r="D11" s="207"/>
      <c r="E11" s="19"/>
      <c r="F11" s="19"/>
      <c r="G11" s="19"/>
      <c r="H11" s="19"/>
      <c r="I11" s="64"/>
      <c r="J11" s="28"/>
      <c r="K11" s="377" t="s">
        <v>299</v>
      </c>
      <c r="L11" s="228"/>
      <c r="M11" s="137"/>
      <c r="N11" s="142"/>
      <c r="O11" s="142"/>
      <c r="P11" s="142"/>
      <c r="Q11" s="142"/>
      <c r="R11" s="142"/>
    </row>
    <row r="12" spans="1:19" s="2" customFormat="1" ht="20.100000000000001" customHeight="1" x14ac:dyDescent="0.25">
      <c r="A12" s="975"/>
      <c r="B12" s="64"/>
      <c r="C12" s="97"/>
      <c r="D12" s="242" t="s">
        <v>213</v>
      </c>
      <c r="E12" s="100" t="s">
        <v>206</v>
      </c>
      <c r="F12" s="256"/>
      <c r="G12" s="19"/>
      <c r="H12" s="257"/>
      <c r="I12" s="65"/>
      <c r="J12" s="28"/>
      <c r="K12" s="377" t="e">
        <f ca="1">IF(E10&lt;20000,K6+(E10-L6)/(L7-L6)*(K7-K6),K6)</f>
        <v>#N/A</v>
      </c>
      <c r="L12" s="228" t="e">
        <f ca="1">(E6+1.4*E7+1.2*E8+1.2*E9)*K12*Gesamt!E14</f>
        <v>#N/A</v>
      </c>
      <c r="M12" s="137"/>
      <c r="N12" s="142"/>
      <c r="O12" s="142"/>
      <c r="P12" s="142"/>
      <c r="Q12" s="142"/>
      <c r="R12" s="142"/>
    </row>
    <row r="13" spans="1:19" s="2" customFormat="1" ht="20.100000000000001" customHeight="1" x14ac:dyDescent="0.25">
      <c r="A13" s="975"/>
      <c r="B13" s="63"/>
      <c r="C13" s="97"/>
      <c r="D13" s="207"/>
      <c r="E13" s="258" t="str">
        <f>VLOOKUP($E$12,Konstante!$F$83:$G$85,2,FALSE)</f>
        <v>Zeitgenössisches Gebäude mit Achssystem</v>
      </c>
      <c r="F13" s="19"/>
      <c r="G13" s="19"/>
      <c r="H13" s="19"/>
      <c r="I13" s="65"/>
      <c r="J13" s="28"/>
      <c r="K13" s="376"/>
      <c r="L13" s="228"/>
      <c r="M13" s="137"/>
      <c r="N13" s="212"/>
      <c r="O13" s="142"/>
      <c r="P13" s="142"/>
      <c r="Q13" s="142"/>
      <c r="R13" s="142"/>
    </row>
    <row r="14" spans="1:19" s="2" customFormat="1" ht="20.100000000000001" customHeight="1" x14ac:dyDescent="0.25">
      <c r="A14" s="975"/>
      <c r="B14" s="64"/>
      <c r="C14" s="97"/>
      <c r="D14" s="207"/>
      <c r="E14" s="190"/>
      <c r="F14" s="19"/>
      <c r="G14" s="19"/>
      <c r="H14" s="19"/>
      <c r="I14" s="65"/>
      <c r="J14" s="28"/>
      <c r="K14" s="375"/>
      <c r="L14" s="211"/>
      <c r="M14" s="144"/>
      <c r="N14" s="212"/>
      <c r="O14" s="142"/>
      <c r="P14" s="142"/>
      <c r="Q14" s="142"/>
      <c r="R14" s="142"/>
    </row>
    <row r="15" spans="1:19" s="2" customFormat="1" ht="20.100000000000001" customHeight="1" x14ac:dyDescent="0.25">
      <c r="A15" s="975"/>
      <c r="B15" s="64"/>
      <c r="C15" s="190"/>
      <c r="D15" s="190"/>
      <c r="E15" s="190"/>
      <c r="F15" s="243"/>
      <c r="G15" s="243"/>
      <c r="H15" s="243"/>
      <c r="I15" s="232"/>
      <c r="J15" s="28"/>
      <c r="L15" s="211"/>
      <c r="M15" s="144"/>
      <c r="N15" s="212"/>
      <c r="O15" s="142"/>
      <c r="P15" s="142"/>
      <c r="Q15" s="142"/>
      <c r="R15" s="142"/>
    </row>
    <row r="16" spans="1:19" s="2" customFormat="1" ht="20.100000000000001" customHeight="1" x14ac:dyDescent="0.25">
      <c r="A16" s="975"/>
      <c r="B16" s="64"/>
      <c r="C16" s="99"/>
      <c r="D16" s="99" t="s">
        <v>705</v>
      </c>
      <c r="E16" s="707"/>
      <c r="F16" s="243"/>
      <c r="G16" s="243"/>
      <c r="H16" s="243"/>
      <c r="I16" s="232"/>
      <c r="J16" s="28"/>
      <c r="K16" s="142"/>
      <c r="L16" s="863">
        <f>E16</f>
        <v>0</v>
      </c>
      <c r="M16" s="144"/>
      <c r="N16" s="212"/>
      <c r="O16" s="142"/>
      <c r="P16" s="142"/>
      <c r="Q16" s="142"/>
      <c r="R16" s="142"/>
    </row>
    <row r="17" spans="1:18" s="2" customFormat="1" ht="20.100000000000001" customHeight="1" x14ac:dyDescent="0.25">
      <c r="A17" s="975"/>
      <c r="B17" s="64"/>
      <c r="C17" s="97"/>
      <c r="D17" s="19"/>
      <c r="E17" s="19"/>
      <c r="F17" s="243"/>
      <c r="G17" s="243"/>
      <c r="H17" s="243"/>
      <c r="I17" s="232"/>
      <c r="J17" s="28"/>
      <c r="K17" s="142"/>
      <c r="L17" s="864" t="e">
        <f ca="1">SUM(L12,L16)</f>
        <v>#N/A</v>
      </c>
      <c r="M17" s="144"/>
      <c r="N17" s="212"/>
      <c r="O17" s="142"/>
      <c r="P17" s="142"/>
      <c r="Q17" s="142"/>
      <c r="R17" s="142"/>
    </row>
    <row r="18" spans="1:18" s="2" customFormat="1" ht="20.100000000000001" customHeight="1" x14ac:dyDescent="0.25">
      <c r="A18" s="975"/>
      <c r="B18" s="64"/>
      <c r="C18" s="64"/>
      <c r="D18" s="203"/>
      <c r="E18" s="203"/>
      <c r="F18" s="203"/>
      <c r="G18" s="203"/>
      <c r="H18" s="204"/>
      <c r="I18" s="63"/>
      <c r="J18" s="28"/>
      <c r="K18" s="140"/>
      <c r="L18" s="144"/>
      <c r="M18" s="144"/>
      <c r="N18" s="143"/>
      <c r="O18" s="142"/>
      <c r="P18" s="142"/>
      <c r="Q18" s="142"/>
      <c r="R18" s="142"/>
    </row>
    <row r="19" spans="1:18" ht="19.5" customHeight="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7">
        <f>IF(E10&lt;500,0,1)</f>
        <v>0</v>
      </c>
      <c r="G19" s="999" t="str">
        <f>IF(F19&lt;&gt;0, L17,"")</f>
        <v/>
      </c>
      <c r="H19" s="999"/>
      <c r="I19" s="63"/>
      <c r="M19" s="136"/>
    </row>
    <row r="20" spans="1:18" ht="19.5" customHeight="1" x14ac:dyDescent="0.25">
      <c r="A20" s="975"/>
      <c r="B20" s="63"/>
      <c r="C20" s="63"/>
      <c r="D20" s="63"/>
      <c r="E20" s="63"/>
      <c r="F20" s="63"/>
      <c r="G20" s="63"/>
      <c r="H20" s="63"/>
      <c r="I20" s="63"/>
    </row>
    <row r="21" spans="1:18" x14ac:dyDescent="0.25">
      <c r="A21" s="973" t="s">
        <v>72</v>
      </c>
    </row>
    <row r="22" spans="1:18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8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8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8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8" x14ac:dyDescent="0.25">
      <c r="A26" s="973"/>
    </row>
    <row r="27" spans="1:18" s="195" customFormat="1" ht="23.25" customHeight="1" x14ac:dyDescent="0.25">
      <c r="A27" s="973"/>
      <c r="B27" s="968" t="str">
        <f>CONCATENATE(D2)</f>
        <v>HERSTELLUNG VON BAUBESTANDSPLÄNEN</v>
      </c>
      <c r="C27" s="994"/>
      <c r="D27" s="994"/>
      <c r="E27" s="994"/>
      <c r="F27" s="994"/>
      <c r="G27" s="994"/>
      <c r="H27" s="994"/>
      <c r="I27" s="994"/>
      <c r="J27" s="29"/>
      <c r="K27" s="145"/>
      <c r="L27" s="146"/>
      <c r="M27" s="146"/>
      <c r="N27" s="147"/>
      <c r="O27" s="147"/>
      <c r="P27" s="147"/>
      <c r="Q27" s="147"/>
      <c r="R27" s="147"/>
    </row>
    <row r="28" spans="1:18" x14ac:dyDescent="0.25">
      <c r="A28" s="973"/>
      <c r="C28" s="45"/>
      <c r="D28" s="45"/>
      <c r="E28" s="45"/>
      <c r="F28" s="45"/>
      <c r="G28" s="45"/>
      <c r="H28" s="45"/>
    </row>
    <row r="29" spans="1:18" x14ac:dyDescent="0.25">
      <c r="A29" s="973"/>
      <c r="C29" s="45" t="s">
        <v>785</v>
      </c>
      <c r="D29" s="45"/>
      <c r="E29" s="45"/>
      <c r="F29" s="45"/>
      <c r="G29" s="45"/>
      <c r="H29" s="45"/>
    </row>
    <row r="30" spans="1:18" x14ac:dyDescent="0.25">
      <c r="A30" s="973"/>
      <c r="C30" s="45"/>
      <c r="D30" s="45"/>
      <c r="E30" s="45"/>
      <c r="F30" s="45"/>
      <c r="G30" s="45"/>
      <c r="H30" s="45"/>
    </row>
    <row r="31" spans="1:18" x14ac:dyDescent="0.25">
      <c r="A31" s="973"/>
      <c r="C31" s="45" t="s">
        <v>46</v>
      </c>
      <c r="D31" s="45"/>
      <c r="E31" s="170">
        <f>Gesamt!E14</f>
        <v>79.08</v>
      </c>
      <c r="F31" s="45"/>
      <c r="G31" s="45"/>
      <c r="H31" s="45"/>
    </row>
    <row r="32" spans="1:18" x14ac:dyDescent="0.25">
      <c r="A32" s="973"/>
      <c r="B32" s="425"/>
      <c r="C32" s="473"/>
      <c r="D32" s="473"/>
      <c r="E32" s="170"/>
      <c r="F32" s="473"/>
      <c r="G32" s="473"/>
      <c r="H32" s="473"/>
      <c r="I32" s="425"/>
    </row>
    <row r="33" spans="1:18" x14ac:dyDescent="0.25">
      <c r="A33" s="973"/>
      <c r="B33" s="425"/>
      <c r="C33" s="473" t="s">
        <v>873</v>
      </c>
      <c r="D33" s="473"/>
      <c r="E33" s="170"/>
      <c r="F33" s="473"/>
      <c r="G33" s="473"/>
      <c r="H33" s="473"/>
      <c r="I33" s="425"/>
    </row>
    <row r="34" spans="1:18" x14ac:dyDescent="0.25">
      <c r="A34" s="973"/>
      <c r="C34" s="45"/>
      <c r="D34" s="45"/>
      <c r="E34" s="45"/>
      <c r="F34" s="45"/>
      <c r="G34" s="45"/>
      <c r="H34" s="45"/>
    </row>
    <row r="35" spans="1:18" x14ac:dyDescent="0.25">
      <c r="A35" s="973"/>
      <c r="C35" s="45"/>
      <c r="D35" s="45"/>
      <c r="E35" s="45"/>
      <c r="F35" s="45"/>
      <c r="G35" s="45"/>
      <c r="H35" s="45"/>
    </row>
    <row r="36" spans="1:18" x14ac:dyDescent="0.25">
      <c r="A36" s="973"/>
      <c r="C36" s="194" t="s">
        <v>214</v>
      </c>
      <c r="D36" s="267" t="str">
        <f>E13</f>
        <v>Zeitgenössisches Gebäude mit Achssystem</v>
      </c>
      <c r="E36" s="45"/>
      <c r="F36" s="45"/>
      <c r="G36" s="45"/>
      <c r="H36" s="45"/>
    </row>
    <row r="37" spans="1:18" x14ac:dyDescent="0.25">
      <c r="A37" s="973"/>
      <c r="C37" s="45"/>
      <c r="D37" s="45"/>
      <c r="E37" s="45"/>
      <c r="F37" s="45"/>
      <c r="G37" s="45"/>
      <c r="H37" s="45"/>
    </row>
    <row r="38" spans="1:18" x14ac:dyDescent="0.25">
      <c r="A38" s="973"/>
      <c r="C38" s="155"/>
      <c r="D38" s="45"/>
      <c r="E38" s="45"/>
      <c r="F38" s="45"/>
      <c r="G38" s="45"/>
      <c r="H38" s="45"/>
    </row>
    <row r="39" spans="1:18" x14ac:dyDescent="0.25">
      <c r="A39" s="973"/>
      <c r="C39" s="267"/>
      <c r="D39" s="267"/>
      <c r="E39" s="267"/>
      <c r="F39" s="45"/>
      <c r="G39" s="45"/>
      <c r="H39" s="45"/>
    </row>
    <row r="40" spans="1:18" x14ac:dyDescent="0.25">
      <c r="A40" s="973"/>
      <c r="C40" s="135"/>
      <c r="D40" s="1067" t="s">
        <v>215</v>
      </c>
      <c r="E40" s="1067"/>
      <c r="F40" s="45"/>
      <c r="G40" s="45"/>
      <c r="H40" s="45"/>
      <c r="J40" s="30"/>
    </row>
    <row r="41" spans="1:18" x14ac:dyDescent="0.25">
      <c r="A41" s="973"/>
      <c r="B41" s="22"/>
      <c r="C41" s="262"/>
      <c r="D41" s="262" t="str">
        <f>IF(D6&gt;0,D6,"")</f>
        <v>Bruttogeschoßfläche allgemein:</v>
      </c>
      <c r="E41" s="265">
        <f>E6</f>
        <v>0</v>
      </c>
      <c r="F41" s="156"/>
      <c r="G41" s="156"/>
      <c r="H41" s="156"/>
      <c r="I41" s="22"/>
      <c r="J41" s="30"/>
    </row>
    <row r="42" spans="1:18" x14ac:dyDescent="0.25">
      <c r="A42" s="973"/>
      <c r="B42" s="22"/>
      <c r="C42" s="262"/>
      <c r="D42" s="262" t="str">
        <f>IF(E7&gt;0,D7,"")</f>
        <v/>
      </c>
      <c r="E42" s="265" t="str">
        <f>IF(E7&gt;0,E7,"")</f>
        <v/>
      </c>
      <c r="F42" s="156"/>
      <c r="G42" s="45"/>
      <c r="H42" s="45"/>
      <c r="I42" s="22"/>
      <c r="J42" s="30"/>
    </row>
    <row r="43" spans="1:18" x14ac:dyDescent="0.25">
      <c r="A43" s="973"/>
      <c r="C43" s="262"/>
      <c r="D43" s="262" t="str">
        <f>IF(E8&gt;0,D8,"")</f>
        <v/>
      </c>
      <c r="E43" s="265" t="str">
        <f>IF(E8&gt;0,E8,"")</f>
        <v/>
      </c>
      <c r="F43" s="156"/>
      <c r="G43" s="45"/>
      <c r="H43" s="45"/>
      <c r="J43" s="30"/>
    </row>
    <row r="44" spans="1:18" x14ac:dyDescent="0.25">
      <c r="A44" s="973"/>
      <c r="C44" s="262"/>
      <c r="D44" s="262" t="str">
        <f>IF(E9&gt;0,D9,"")</f>
        <v/>
      </c>
      <c r="E44" s="265" t="str">
        <f>IF(E9&gt;0,E9,"")</f>
        <v/>
      </c>
      <c r="F44" s="156"/>
      <c r="G44" s="45"/>
      <c r="H44" s="45"/>
    </row>
    <row r="45" spans="1:18" x14ac:dyDescent="0.25">
      <c r="A45" s="973"/>
      <c r="C45" s="78"/>
      <c r="D45" s="263" t="str">
        <f>IF(D10&gt;0,D10,"")</f>
        <v>Gesamtfläche:</v>
      </c>
      <c r="E45" s="266">
        <f>SUM(E41:E44)</f>
        <v>0</v>
      </c>
      <c r="F45" s="184"/>
      <c r="G45" s="264"/>
      <c r="H45" s="264"/>
      <c r="K45" s="171"/>
    </row>
    <row r="46" spans="1:18" x14ac:dyDescent="0.25">
      <c r="A46" s="973"/>
      <c r="C46" s="214"/>
      <c r="D46" s="262" t="str">
        <f t="shared" ref="D46" si="0">IF(D11&gt;0,D11,"")</f>
        <v/>
      </c>
      <c r="E46" s="194"/>
      <c r="F46" s="156" t="str">
        <f>IF(D11&gt;0,F11,"")</f>
        <v/>
      </c>
      <c r="G46" s="154"/>
      <c r="H46" s="155"/>
      <c r="K46" s="171"/>
    </row>
    <row r="47" spans="1:18" s="3" customFormat="1" x14ac:dyDescent="0.25">
      <c r="A47" s="973"/>
      <c r="B47"/>
      <c r="C47" s="45"/>
      <c r="D47" s="42"/>
      <c r="E47" s="185"/>
      <c r="F47" s="186"/>
      <c r="G47" s="42"/>
      <c r="H47" s="45"/>
      <c r="I47"/>
      <c r="J47" s="33"/>
      <c r="K47" s="172"/>
      <c r="L47" s="148"/>
      <c r="M47" s="148"/>
      <c r="N47" s="149"/>
      <c r="O47" s="149"/>
      <c r="P47" s="149"/>
      <c r="Q47" s="149"/>
      <c r="R47" s="149"/>
    </row>
    <row r="48" spans="1:18" x14ac:dyDescent="0.25">
      <c r="A48" s="973"/>
      <c r="D48" s="262"/>
      <c r="E48" s="194"/>
      <c r="G48" s="45"/>
      <c r="H48" s="45"/>
      <c r="K48" s="171"/>
    </row>
    <row r="49" spans="1:18" x14ac:dyDescent="0.25">
      <c r="A49" s="973"/>
      <c r="B49" s="3"/>
      <c r="C49" s="45" t="s">
        <v>64</v>
      </c>
      <c r="D49" s="45"/>
      <c r="E49" s="45"/>
      <c r="F49" s="170">
        <f>IF(F19&lt;&gt;0,ROUND(L12,2),0)</f>
        <v>0</v>
      </c>
      <c r="G49" s="45"/>
      <c r="H49" s="45"/>
      <c r="I49" s="3"/>
    </row>
    <row r="50" spans="1:18" x14ac:dyDescent="0.25">
      <c r="A50" s="973"/>
    </row>
    <row r="51" spans="1:18" x14ac:dyDescent="0.25">
      <c r="A51" s="973"/>
      <c r="C51" s="45" t="str">
        <f>IF(L16&gt;0,"Nebenkosten:","")</f>
        <v/>
      </c>
      <c r="D51" s="45"/>
      <c r="E51" s="45"/>
      <c r="F51" s="170" t="str">
        <f>IF(L16&gt;0,ROUND(L16,2),"")</f>
        <v/>
      </c>
      <c r="G51" s="45"/>
      <c r="H51" s="45"/>
    </row>
    <row r="52" spans="1:18" x14ac:dyDescent="0.25">
      <c r="A52" s="973"/>
      <c r="C52" s="221"/>
      <c r="D52" s="221"/>
      <c r="E52" s="221"/>
      <c r="F52" s="222"/>
      <c r="G52" s="221"/>
      <c r="H52" s="221"/>
    </row>
    <row r="53" spans="1:18" x14ac:dyDescent="0.25">
      <c r="A53" s="973"/>
      <c r="C53" s="45" t="str">
        <f>IF(E18&gt;0,"Nebenkosten:","")</f>
        <v/>
      </c>
      <c r="D53" s="45"/>
      <c r="E53" s="45"/>
      <c r="F53" s="170" t="str">
        <f>IF(E18&gt;0,ROUND(E18,2),"")</f>
        <v/>
      </c>
      <c r="G53" s="45"/>
      <c r="H53" s="45"/>
    </row>
    <row r="54" spans="1:18" s="15" customFormat="1" ht="15.75" x14ac:dyDescent="0.25">
      <c r="A54" s="973"/>
      <c r="B54"/>
      <c r="C54" s="445" t="s">
        <v>71</v>
      </c>
      <c r="D54" s="159"/>
      <c r="E54" s="159"/>
      <c r="F54" s="165"/>
      <c r="G54" s="967">
        <f>IF(F19,SUM(F49:F51),0)</f>
        <v>0</v>
      </c>
      <c r="H54" s="967"/>
      <c r="I54"/>
      <c r="J54" s="166"/>
      <c r="K54" s="167"/>
      <c r="L54" s="168"/>
      <c r="M54" s="168"/>
      <c r="N54" s="169"/>
      <c r="O54" s="169"/>
      <c r="P54" s="169"/>
      <c r="Q54" s="169"/>
      <c r="R54" s="169"/>
    </row>
    <row r="55" spans="1:18" x14ac:dyDescent="0.25">
      <c r="A55" s="973"/>
      <c r="C55" s="135" t="str">
        <f>IF(O15&lt;&gt;0,"ohne Höhenschichtenlinien (-10%):","")</f>
        <v/>
      </c>
      <c r="D55" s="45"/>
      <c r="E55" s="154"/>
      <c r="F55" s="170" t="str">
        <f>IF(O15&lt;&gt;0,ROUND(O15,2),"")</f>
        <v/>
      </c>
      <c r="G55" s="45"/>
      <c r="H55" s="45"/>
    </row>
    <row r="56" spans="1:18" ht="15.75" x14ac:dyDescent="0.25">
      <c r="A56" s="973"/>
      <c r="B56" s="15"/>
      <c r="C56" s="47" t="str">
        <f>IF(O16&lt;&gt;0,"Höhenkoten nicht freistellen (-5%):","")</f>
        <v/>
      </c>
      <c r="D56" s="215"/>
      <c r="E56" s="176"/>
      <c r="F56" s="223" t="str">
        <f>IF(O16&lt;&gt;0,ROUND(O16,2),"")</f>
        <v/>
      </c>
      <c r="G56" s="215"/>
      <c r="H56" s="215"/>
      <c r="I56" s="15"/>
    </row>
    <row r="57" spans="1:18" x14ac:dyDescent="0.25">
      <c r="A57" s="973"/>
      <c r="C57" s="215"/>
      <c r="D57" s="215"/>
      <c r="E57" s="215"/>
      <c r="F57" s="215"/>
      <c r="G57" s="215"/>
      <c r="H57" s="215"/>
    </row>
    <row r="58" spans="1:18" ht="15.75" x14ac:dyDescent="0.25">
      <c r="A58" s="973"/>
      <c r="C58" s="15"/>
      <c r="D58" s="159"/>
      <c r="E58" s="159"/>
      <c r="F58" s="165"/>
      <c r="G58" s="966"/>
      <c r="H58" s="966"/>
    </row>
    <row r="59" spans="1:18" x14ac:dyDescent="0.25">
      <c r="A59" s="973"/>
      <c r="C59" s="45"/>
      <c r="D59" s="45"/>
      <c r="E59" s="45"/>
      <c r="F59" s="154"/>
      <c r="G59" s="45"/>
      <c r="H59" s="45"/>
    </row>
    <row r="60" spans="1:18" s="25" customFormat="1" ht="15.75" x14ac:dyDescent="0.25">
      <c r="A60" s="973"/>
      <c r="B60"/>
      <c r="C60" s="45"/>
      <c r="D60" s="45"/>
      <c r="E60" s="160"/>
      <c r="F60" s="158"/>
      <c r="G60" s="155"/>
      <c r="H60" s="45"/>
      <c r="I60"/>
      <c r="J60" s="31"/>
      <c r="K60" s="150"/>
      <c r="L60" s="151"/>
      <c r="M60" s="151"/>
      <c r="N60" s="152"/>
      <c r="O60" s="152"/>
      <c r="P60" s="152"/>
      <c r="Q60" s="152"/>
      <c r="R60" s="152"/>
    </row>
    <row r="61" spans="1:18" x14ac:dyDescent="0.25">
      <c r="A61" s="973"/>
      <c r="C61" s="45"/>
      <c r="D61" s="45"/>
      <c r="E61" s="45"/>
      <c r="F61" s="154"/>
      <c r="G61" s="155"/>
      <c r="H61" s="45"/>
    </row>
    <row r="62" spans="1:18" ht="15.75" x14ac:dyDescent="0.25">
      <c r="A62" s="973"/>
      <c r="B62" s="25"/>
      <c r="C62" s="45"/>
      <c r="D62" s="45"/>
      <c r="E62" s="45"/>
      <c r="F62" s="158"/>
      <c r="G62" s="155"/>
      <c r="H62" s="45"/>
      <c r="I62" s="25"/>
    </row>
    <row r="63" spans="1:18" x14ac:dyDescent="0.25">
      <c r="A63" s="973"/>
      <c r="C63" s="45"/>
      <c r="D63" s="45"/>
      <c r="E63" s="45"/>
      <c r="F63" s="45"/>
      <c r="G63" s="45"/>
      <c r="H63" s="45"/>
    </row>
    <row r="64" spans="1:18" x14ac:dyDescent="0.25">
      <c r="A64" s="973"/>
      <c r="C64" s="45"/>
      <c r="D64" s="45"/>
      <c r="E64" s="45"/>
      <c r="F64" s="45"/>
      <c r="G64" s="45"/>
      <c r="H64" s="45"/>
    </row>
    <row r="65" spans="1:8" x14ac:dyDescent="0.25">
      <c r="A65" s="973"/>
      <c r="C65" s="161"/>
      <c r="D65" s="161"/>
      <c r="E65" s="161"/>
      <c r="F65" s="161"/>
      <c r="G65" s="161"/>
      <c r="H65" s="162"/>
    </row>
    <row r="66" spans="1:8" x14ac:dyDescent="0.25">
      <c r="A66" s="973"/>
      <c r="C66" s="45"/>
      <c r="D66" s="45"/>
      <c r="E66" s="45"/>
      <c r="F66" s="45"/>
      <c r="G66" s="45"/>
      <c r="H66" s="45"/>
    </row>
    <row r="67" spans="1:8" x14ac:dyDescent="0.25">
      <c r="A67" s="973"/>
    </row>
    <row r="68" spans="1:8" x14ac:dyDescent="0.25">
      <c r="A68" s="973"/>
    </row>
  </sheetData>
  <mergeCells count="19">
    <mergeCell ref="A1:A20"/>
    <mergeCell ref="D2:H2"/>
    <mergeCell ref="D3:H3"/>
    <mergeCell ref="G19:H19"/>
    <mergeCell ref="E6:F6"/>
    <mergeCell ref="E7:F7"/>
    <mergeCell ref="E8:F8"/>
    <mergeCell ref="E9:F9"/>
    <mergeCell ref="E10:F10"/>
    <mergeCell ref="G6:H9"/>
    <mergeCell ref="A21:A68"/>
    <mergeCell ref="B22:I22"/>
    <mergeCell ref="B23:I23"/>
    <mergeCell ref="B24:I24"/>
    <mergeCell ref="B25:I25"/>
    <mergeCell ref="B27:I27"/>
    <mergeCell ref="G54:H54"/>
    <mergeCell ref="G58:H58"/>
    <mergeCell ref="D40:E40"/>
  </mergeCell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Konstante!$F$83:$F$85</xm:f>
          </x14:formula1>
          <xm:sqref>E12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Normal="100" zoomScaleSheetLayoutView="100" workbookViewId="0">
      <selection activeCell="F4" sqref="F4"/>
    </sheetView>
  </sheetViews>
  <sheetFormatPr baseColWidth="10" defaultRowHeight="15" x14ac:dyDescent="0.25"/>
  <cols>
    <col min="1" max="1" width="4" style="425" customWidth="1"/>
    <col min="2" max="2" width="6.7109375" style="425" customWidth="1"/>
    <col min="3" max="8" width="12.7109375" style="425" customWidth="1"/>
    <col min="9" max="9" width="5.7109375" style="425" customWidth="1"/>
    <col min="10" max="10" width="8.7109375" style="448" customWidth="1"/>
    <col min="11" max="11" width="11.42578125" style="453"/>
    <col min="12" max="12" width="11.42578125" style="454"/>
    <col min="13" max="17" width="11.42578125" style="455"/>
    <col min="18" max="18" width="11.42578125" style="448"/>
    <col min="19" max="16384" width="11.42578125" style="425"/>
  </cols>
  <sheetData>
    <row r="1" spans="1:21" ht="17.2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CELL("ZEILE",B27)</f>
        <v>27</v>
      </c>
    </row>
    <row r="2" spans="1:21" ht="22.5" customHeight="1" x14ac:dyDescent="0.25">
      <c r="A2" s="975"/>
      <c r="B2" s="475"/>
      <c r="C2" s="476" t="s">
        <v>36</v>
      </c>
      <c r="D2" s="995" t="s">
        <v>44</v>
      </c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CELL("ZEILE",G62)</f>
        <v>62</v>
      </c>
      <c r="O2" s="564"/>
      <c r="P2" s="564"/>
    </row>
    <row r="3" spans="1:21" ht="22.5" customHeight="1" x14ac:dyDescent="0.25">
      <c r="A3" s="975"/>
      <c r="B3" s="475"/>
      <c r="C3" s="476"/>
      <c r="D3" s="495"/>
      <c r="E3" s="496"/>
      <c r="F3" s="496"/>
      <c r="G3" s="496"/>
      <c r="H3" s="497"/>
      <c r="I3" s="474"/>
      <c r="K3" s="268" t="s">
        <v>794</v>
      </c>
      <c r="L3" s="236"/>
      <c r="M3" s="236"/>
      <c r="N3" s="268">
        <f>F19</f>
        <v>0</v>
      </c>
      <c r="O3" s="564"/>
      <c r="P3" s="564"/>
    </row>
    <row r="4" spans="1:21" ht="17.25" customHeight="1" x14ac:dyDescent="0.25">
      <c r="A4" s="975"/>
      <c r="B4" s="475"/>
      <c r="C4" s="476" t="s">
        <v>2</v>
      </c>
      <c r="D4" s="476"/>
      <c r="E4" s="478"/>
      <c r="F4" s="479" t="s">
        <v>29</v>
      </c>
      <c r="G4" s="480">
        <f>VLOOKUP(H4,Konstante!Q97:R98,2,FALSE)</f>
        <v>1</v>
      </c>
      <c r="H4" s="479" t="s">
        <v>26</v>
      </c>
      <c r="I4" s="474"/>
      <c r="K4" s="564"/>
      <c r="L4" s="564"/>
      <c r="M4" s="564"/>
      <c r="N4" s="564"/>
      <c r="O4" s="564"/>
      <c r="P4" s="564"/>
    </row>
    <row r="5" spans="1:21" ht="17.25" customHeight="1" x14ac:dyDescent="0.25">
      <c r="A5" s="975"/>
      <c r="B5" s="475"/>
      <c r="C5" s="476" t="s">
        <v>3</v>
      </c>
      <c r="D5" s="476"/>
      <c r="E5" s="1076" t="s">
        <v>33</v>
      </c>
      <c r="F5" s="1077"/>
      <c r="G5" s="1077"/>
      <c r="H5" s="1078"/>
      <c r="I5" s="474"/>
      <c r="K5" s="1080" t="s">
        <v>698</v>
      </c>
      <c r="L5" s="1081"/>
      <c r="M5" s="1081"/>
      <c r="N5" s="1082"/>
      <c r="O5" s="564"/>
      <c r="P5" s="564"/>
    </row>
    <row r="6" spans="1:21" ht="17.25" customHeight="1" x14ac:dyDescent="0.25">
      <c r="A6" s="975"/>
      <c r="B6" s="475"/>
      <c r="C6" s="481" t="s">
        <v>68</v>
      </c>
      <c r="D6" s="481"/>
      <c r="E6" s="481"/>
      <c r="F6" s="481"/>
      <c r="G6" s="481"/>
      <c r="H6" s="494">
        <f>IF(E5="Herauszeichnen aus bestehenden LH-Plänen",0.6,1)</f>
        <v>1</v>
      </c>
      <c r="I6" s="474"/>
      <c r="K6" s="1083"/>
      <c r="L6" s="1084"/>
      <c r="M6" s="1084"/>
      <c r="N6" s="1085"/>
    </row>
    <row r="7" spans="1:21" ht="19.5" customHeight="1" x14ac:dyDescent="0.25">
      <c r="A7" s="975"/>
      <c r="B7" s="475"/>
      <c r="C7" s="476" t="s">
        <v>0</v>
      </c>
      <c r="D7" s="476"/>
      <c r="E7" s="482"/>
      <c r="F7" s="482"/>
      <c r="G7" s="478"/>
      <c r="H7" s="479" t="s">
        <v>8</v>
      </c>
      <c r="I7" s="474"/>
    </row>
    <row r="8" spans="1:21" s="427" customFormat="1" ht="20.100000000000001" customHeight="1" x14ac:dyDescent="0.25">
      <c r="A8" s="975"/>
      <c r="B8" s="475"/>
      <c r="C8" s="483" t="s">
        <v>59</v>
      </c>
      <c r="D8" s="483"/>
      <c r="E8" s="483" t="s">
        <v>699</v>
      </c>
      <c r="F8" s="483"/>
      <c r="G8" s="1086" t="s">
        <v>60</v>
      </c>
      <c r="H8" s="1086"/>
      <c r="I8" s="476"/>
      <c r="J8" s="449"/>
      <c r="K8" s="456" t="s">
        <v>65</v>
      </c>
      <c r="L8" s="457" t="str">
        <f>IF(VSK&gt;0,((F1_*l)+PRODUCT(F2_,l1_,_s1)+PRODUCT(F2_,l2_,_s2)+PRODUCT(F2_,l3_,_s3)+(0.28*ns)+(POWER((l/ns),0.5)/3)-1+(2/POWER(ns,0.5))+PRODUCT(0.24,ns1_,_s1)+PRODUCT(0.24,ns2_,_s2)+PRODUCT(0.24,ns3_,_s3))*IS*Abminderungsfaktor,"")</f>
        <v/>
      </c>
      <c r="M8" s="458" t="s">
        <v>74</v>
      </c>
      <c r="N8" s="458"/>
      <c r="O8" s="458"/>
      <c r="P8" s="458"/>
      <c r="Q8" s="458"/>
      <c r="R8" s="449"/>
    </row>
    <row r="9" spans="1:21" s="427" customFormat="1" ht="20.100000000000001" customHeight="1" x14ac:dyDescent="0.25">
      <c r="A9" s="975"/>
      <c r="B9" s="475"/>
      <c r="C9" s="484" t="s">
        <v>50</v>
      </c>
      <c r="D9" s="485"/>
      <c r="E9" s="484" t="s">
        <v>53</v>
      </c>
      <c r="F9" s="502"/>
      <c r="G9" s="484" t="s">
        <v>117</v>
      </c>
      <c r="H9" s="477" t="s">
        <v>24</v>
      </c>
      <c r="I9" s="475"/>
      <c r="J9" s="449"/>
      <c r="K9" s="456" t="s">
        <v>66</v>
      </c>
      <c r="L9" s="457" t="str">
        <f>IF(VSK&gt;0,((F3_*l)+PRODUCT(F4_,l1_,_s1)+PRODUCT(F4_,l2_,_s2)+PRODUCT(F4_,l3_,_s3)+(POWER((l/ns),0.5)/3)-1+(2/POWER(ns,0.1)))*IS*Abminderungsfaktor,"")</f>
        <v/>
      </c>
      <c r="M9" s="458" t="s">
        <v>75</v>
      </c>
      <c r="N9" s="458"/>
      <c r="O9" s="458"/>
      <c r="P9" s="458"/>
      <c r="Q9" s="458"/>
      <c r="R9" s="449"/>
    </row>
    <row r="10" spans="1:21" s="427" customFormat="1" ht="20.100000000000001" customHeight="1" x14ac:dyDescent="0.25">
      <c r="A10" s="975"/>
      <c r="B10" s="475"/>
      <c r="C10" s="484" t="s">
        <v>51</v>
      </c>
      <c r="D10" s="563"/>
      <c r="E10" s="484" t="s">
        <v>54</v>
      </c>
      <c r="F10" s="502"/>
      <c r="G10" s="484" t="s">
        <v>118</v>
      </c>
      <c r="H10" s="477" t="s">
        <v>19</v>
      </c>
      <c r="I10" s="475"/>
      <c r="J10" s="449"/>
      <c r="K10" s="456" t="s">
        <v>67</v>
      </c>
      <c r="L10" s="457" t="str">
        <f>IF(VSK&gt;0,((F5_*l)+PRODUCT(F6_,l1_,_s1)+PRODUCT(F6_,l2_,_s2)+PRODUCT(F6_,l3_,_s3)+(0.19*ns)+(POWER((l/ns),0.25)/6)-1+(1/POWER(ns,0.25)))*IS,"")</f>
        <v/>
      </c>
      <c r="M10" s="458" t="s">
        <v>76</v>
      </c>
      <c r="N10" s="458"/>
      <c r="O10" s="458"/>
      <c r="P10" s="458"/>
      <c r="Q10" s="458"/>
      <c r="R10" s="449"/>
    </row>
    <row r="11" spans="1:21" s="427" customFormat="1" ht="20.100000000000001" customHeight="1" x14ac:dyDescent="0.25">
      <c r="A11" s="975"/>
      <c r="B11" s="475"/>
      <c r="C11" s="484" t="s">
        <v>52</v>
      </c>
      <c r="D11" s="563"/>
      <c r="E11" s="484" t="s">
        <v>55</v>
      </c>
      <c r="F11" s="502"/>
      <c r="G11" s="484" t="s">
        <v>119</v>
      </c>
      <c r="H11" s="477" t="s">
        <v>20</v>
      </c>
      <c r="I11" s="475"/>
      <c r="J11" s="449"/>
      <c r="K11" s="456"/>
      <c r="L11" s="457"/>
      <c r="M11" s="458"/>
      <c r="N11" s="458"/>
      <c r="O11" s="458"/>
      <c r="P11" s="458"/>
      <c r="Q11" s="458"/>
      <c r="R11" s="449"/>
    </row>
    <row r="12" spans="1:21" s="427" customFormat="1" ht="20.100000000000001" customHeight="1" x14ac:dyDescent="0.25">
      <c r="A12" s="975"/>
      <c r="B12" s="475"/>
      <c r="C12" s="486" t="s">
        <v>48</v>
      </c>
      <c r="D12" s="487">
        <f>SUM(D9:D11)</f>
        <v>0</v>
      </c>
      <c r="E12" s="486" t="s">
        <v>49</v>
      </c>
      <c r="F12" s="488">
        <f>SUM(F9:F11)</f>
        <v>0</v>
      </c>
      <c r="G12" s="486" t="s">
        <v>56</v>
      </c>
      <c r="H12" s="488">
        <f>IF(D12&gt;0,F12/D12,0)</f>
        <v>0</v>
      </c>
      <c r="I12" s="476"/>
      <c r="J12" s="449"/>
      <c r="K12" s="456"/>
      <c r="L12" s="457"/>
      <c r="M12" s="458"/>
      <c r="N12" s="458"/>
      <c r="O12" s="1079" t="str">
        <f>CONCATENATE("Änderung der Profilzahl wegen größerer Profillängen  (&gt;",Konstante!U101,"m)")</f>
        <v>Änderung der Profilzahl wegen größerer Profillängen  (&gt;250m)</v>
      </c>
      <c r="P12" s="1079"/>
      <c r="Q12" s="1079"/>
      <c r="R12" s="1079"/>
      <c r="S12" s="1079"/>
      <c r="T12" s="1079"/>
    </row>
    <row r="13" spans="1:21" s="427" customFormat="1" ht="20.100000000000001" customHeight="1" x14ac:dyDescent="0.25">
      <c r="A13" s="975"/>
      <c r="B13" s="474"/>
      <c r="C13" s="476"/>
      <c r="D13" s="476"/>
      <c r="E13" s="491"/>
      <c r="F13" s="476"/>
      <c r="G13" s="475"/>
      <c r="H13" s="475"/>
      <c r="I13" s="476"/>
      <c r="J13" s="449"/>
      <c r="K13" s="456" t="s">
        <v>77</v>
      </c>
      <c r="L13" s="457">
        <f>VLOOKUP(H9,Konstante!K$97:M$105,1+G$4,FALSE)</f>
        <v>2.5</v>
      </c>
      <c r="M13" s="456" t="s">
        <v>78</v>
      </c>
      <c r="N13" s="459">
        <f>VLOOKUP(H$7,Konstante!C$97:I$103,2,FALSE)</f>
        <v>5.3E-3</v>
      </c>
      <c r="O13" s="456" t="s">
        <v>440</v>
      </c>
      <c r="P13" s="460">
        <f>SUM(D42)</f>
        <v>0</v>
      </c>
      <c r="Q13" s="456" t="s">
        <v>439</v>
      </c>
      <c r="R13" s="460">
        <f>IF(SUM(F42)&lt;&gt;"",IF((SUM(F42)-SUM(D42)*Konstante!U$101)&gt;=0.5,ROUND((SUM(F42)-SUM(D42)*Konstante!U$101+Konstante!U$101/2-0.5)/Konstante!U$101,0),0),0)</f>
        <v>0</v>
      </c>
      <c r="S13" s="456" t="s">
        <v>438</v>
      </c>
      <c r="T13" s="460">
        <f t="shared" ref="T13:T15" si="0">P13+R13</f>
        <v>0</v>
      </c>
      <c r="U13" s="505"/>
    </row>
    <row r="14" spans="1:21" s="427" customFormat="1" ht="20.100000000000001" customHeight="1" x14ac:dyDescent="0.25">
      <c r="A14" s="975"/>
      <c r="B14" s="475"/>
      <c r="C14" s="476"/>
      <c r="D14" s="476"/>
      <c r="E14" s="491"/>
      <c r="F14" s="476"/>
      <c r="G14" s="475"/>
      <c r="H14" s="475"/>
      <c r="I14" s="476"/>
      <c r="J14" s="449"/>
      <c r="K14" s="456" t="s">
        <v>79</v>
      </c>
      <c r="L14" s="457">
        <f>VLOOKUP(H10,Konstante!K$97:M$105,1+G$4,FALSE)</f>
        <v>2.2000000000000002</v>
      </c>
      <c r="M14" s="456" t="s">
        <v>80</v>
      </c>
      <c r="N14" s="459">
        <f>VLOOKUP(H$7,Konstante!C$97:I$103,3,FALSE)</f>
        <v>5.0000000000000001E-3</v>
      </c>
      <c r="O14" s="456" t="s">
        <v>437</v>
      </c>
      <c r="P14" s="460">
        <f t="shared" ref="P14:P15" si="1">SUM(D43)</f>
        <v>0</v>
      </c>
      <c r="Q14" s="456" t="s">
        <v>436</v>
      </c>
      <c r="R14" s="460">
        <f>IF(SUM(F43)&lt;&gt;"",IF((SUM(F43)-SUM(D43)*Konstante!U$101)&gt;=0.5,ROUND((SUM(F43)-SUM(D43)*Konstante!U$101+Konstante!U$101/2-0.5)/Konstante!U$101,0),0),0)</f>
        <v>0</v>
      </c>
      <c r="S14" s="456" t="s">
        <v>435</v>
      </c>
      <c r="T14" s="460">
        <f t="shared" si="0"/>
        <v>0</v>
      </c>
      <c r="U14" s="505"/>
    </row>
    <row r="15" spans="1:21" s="427" customFormat="1" ht="20.100000000000001" customHeight="1" x14ac:dyDescent="0.25">
      <c r="A15" s="975"/>
      <c r="B15" s="475"/>
      <c r="C15" s="476"/>
      <c r="D15" s="476"/>
      <c r="E15" s="491"/>
      <c r="F15" s="476"/>
      <c r="G15" s="712" t="s">
        <v>717</v>
      </c>
      <c r="H15" s="475"/>
      <c r="I15" s="476"/>
      <c r="J15" s="449"/>
      <c r="K15" s="456" t="s">
        <v>81</v>
      </c>
      <c r="L15" s="457">
        <f>VLOOKUP(H11,Konstante!K$97:M$105,1+G$4,FALSE)</f>
        <v>1.3</v>
      </c>
      <c r="M15" s="456" t="s">
        <v>82</v>
      </c>
      <c r="N15" s="459">
        <f>VLOOKUP(H$7,Konstante!C$97:I$103,4,FALSE)</f>
        <v>8.5000000000000006E-3</v>
      </c>
      <c r="O15" s="456" t="s">
        <v>434</v>
      </c>
      <c r="P15" s="460">
        <f t="shared" si="1"/>
        <v>0</v>
      </c>
      <c r="Q15" s="456" t="s">
        <v>433</v>
      </c>
      <c r="R15" s="460">
        <f>IF(SUM(F44)&lt;&gt;"",IF((SUM(F44)-SUM(D44)*Konstante!U$101)&gt;=0.5,ROUND((SUM(F44)-SUM(D44)*Konstante!U$101+Konstante!U$101/2-0.5)/Konstante!U$101,0),0),0)</f>
        <v>0</v>
      </c>
      <c r="S15" s="456" t="s">
        <v>432</v>
      </c>
      <c r="T15" s="460">
        <f t="shared" si="0"/>
        <v>0</v>
      </c>
      <c r="U15" s="505"/>
    </row>
    <row r="16" spans="1:21" s="427" customFormat="1" ht="20.100000000000001" customHeight="1" x14ac:dyDescent="0.25">
      <c r="A16" s="975"/>
      <c r="B16" s="475"/>
      <c r="C16" s="476" t="s">
        <v>34</v>
      </c>
      <c r="D16" s="476"/>
      <c r="E16" s="489"/>
      <c r="F16" s="476"/>
      <c r="G16" s="1087"/>
      <c r="H16" s="1088"/>
      <c r="I16" s="476"/>
      <c r="J16" s="449"/>
      <c r="K16" s="456" t="s">
        <v>431</v>
      </c>
      <c r="L16" s="506">
        <f>SUM(F42)</f>
        <v>0</v>
      </c>
      <c r="M16" s="456" t="s">
        <v>83</v>
      </c>
      <c r="N16" s="459">
        <f>VLOOKUP(H$7,Konstante!C$97:I$103,5,FALSE)</f>
        <v>8.2000000000000007E-3</v>
      </c>
      <c r="O16" s="456" t="s">
        <v>48</v>
      </c>
      <c r="P16" s="460">
        <f>SUM(P13:P15)</f>
        <v>0</v>
      </c>
      <c r="Q16" s="456" t="s">
        <v>430</v>
      </c>
      <c r="R16" s="460">
        <f>SUM(R13:R15)</f>
        <v>0</v>
      </c>
      <c r="S16" s="456" t="s">
        <v>429</v>
      </c>
      <c r="T16" s="460">
        <f>P16+R16</f>
        <v>0</v>
      </c>
      <c r="U16" s="505"/>
    </row>
    <row r="17" spans="1:21" s="427" customFormat="1" ht="20.100000000000001" customHeight="1" x14ac:dyDescent="0.25">
      <c r="A17" s="975"/>
      <c r="B17" s="475"/>
      <c r="C17" s="476" t="s">
        <v>1</v>
      </c>
      <c r="D17" s="476"/>
      <c r="E17" s="490"/>
      <c r="F17" s="476"/>
      <c r="G17" s="998"/>
      <c r="H17" s="998"/>
      <c r="I17" s="476"/>
      <c r="J17" s="449"/>
      <c r="K17" s="456" t="s">
        <v>428</v>
      </c>
      <c r="L17" s="506">
        <f>SUM(F43)</f>
        <v>0</v>
      </c>
      <c r="M17" s="456" t="s">
        <v>84</v>
      </c>
      <c r="N17" s="459">
        <f>VLOOKUP(H$7,Konstante!C$97:I$103,6,FALSE)</f>
        <v>3.0000000000000001E-3</v>
      </c>
      <c r="S17" s="458"/>
      <c r="U17" s="505"/>
    </row>
    <row r="18" spans="1:21" s="427" customFormat="1" ht="20.100000000000001" customHeight="1" x14ac:dyDescent="0.25">
      <c r="A18" s="975"/>
      <c r="B18" s="475"/>
      <c r="C18" s="476"/>
      <c r="D18" s="476"/>
      <c r="E18" s="491"/>
      <c r="F18" s="476"/>
      <c r="G18" s="475"/>
      <c r="H18" s="475"/>
      <c r="I18" s="474"/>
      <c r="J18" s="449"/>
      <c r="K18" s="456" t="s">
        <v>427</v>
      </c>
      <c r="L18" s="506">
        <f>SUM(F44)</f>
        <v>0</v>
      </c>
      <c r="M18" s="456" t="s">
        <v>85</v>
      </c>
      <c r="N18" s="459">
        <f>VLOOKUP(H$7,Konstante!C$97:I$103,7,FALSE)</f>
        <v>1.2999999999999999E-3</v>
      </c>
      <c r="S18" s="458"/>
      <c r="T18" s="458"/>
      <c r="U18" s="505"/>
    </row>
    <row r="19" spans="1:21" ht="19.5" customHeight="1" x14ac:dyDescent="0.35">
      <c r="A19" s="975"/>
      <c r="B19" s="474"/>
      <c r="C19" s="492" t="str">
        <f>IF(F19=0, "UNVOLLSTÄNDIG AUSGEFÜLLT!","")</f>
        <v>UNVOLLSTÄNDIG AUSGEFÜLLT!</v>
      </c>
      <c r="D19" s="474"/>
      <c r="E19" s="474"/>
      <c r="F19" s="687">
        <f>IF(OR(D12&lt;1,F12&lt;0.01,D12="",F12="",(D9*l1_+D10*F10+D11*F11)&lt;0.01),0,1)</f>
        <v>0</v>
      </c>
      <c r="G19" s="999" t="str">
        <f>IF(F19&lt;&gt;0, G62,"")</f>
        <v/>
      </c>
      <c r="H19" s="999"/>
      <c r="I19" s="474"/>
      <c r="M19" s="453"/>
      <c r="Q19" s="498"/>
    </row>
    <row r="20" spans="1:21" ht="19.5" customHeight="1" x14ac:dyDescent="0.25">
      <c r="A20" s="975"/>
      <c r="B20" s="474"/>
      <c r="C20" s="474"/>
      <c r="D20" s="474"/>
      <c r="E20" s="474"/>
      <c r="F20" s="474"/>
      <c r="G20" s="474"/>
      <c r="H20" s="474"/>
      <c r="I20" s="474"/>
      <c r="Q20" s="498"/>
    </row>
    <row r="21" spans="1:21" x14ac:dyDescent="0.25">
      <c r="A21" s="973" t="s">
        <v>72</v>
      </c>
    </row>
    <row r="22" spans="1:21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21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21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21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21" x14ac:dyDescent="0.25">
      <c r="A26" s="973"/>
    </row>
    <row r="27" spans="1:21" s="431" customFormat="1" ht="23.25" customHeight="1" x14ac:dyDescent="0.25">
      <c r="A27" s="973"/>
      <c r="B27" s="968" t="str">
        <f>D2</f>
        <v>PROFILE</v>
      </c>
      <c r="C27" s="994"/>
      <c r="D27" s="994"/>
      <c r="E27" s="994"/>
      <c r="F27" s="994"/>
      <c r="G27" s="994"/>
      <c r="H27" s="994"/>
      <c r="I27" s="994"/>
      <c r="J27" s="450"/>
      <c r="K27" s="461"/>
      <c r="L27" s="462"/>
      <c r="M27" s="463"/>
      <c r="N27" s="463"/>
      <c r="O27" s="463"/>
      <c r="P27" s="463"/>
      <c r="Q27" s="463"/>
      <c r="R27" s="450"/>
    </row>
    <row r="28" spans="1:21" x14ac:dyDescent="0.25">
      <c r="A28" s="973"/>
    </row>
    <row r="29" spans="1:21" x14ac:dyDescent="0.25">
      <c r="A29" s="973"/>
      <c r="C29" s="425" t="s">
        <v>786</v>
      </c>
    </row>
    <row r="30" spans="1:21" x14ac:dyDescent="0.25">
      <c r="A30" s="973"/>
    </row>
    <row r="31" spans="1:21" x14ac:dyDescent="0.25">
      <c r="A31" s="973"/>
      <c r="C31" s="425" t="s">
        <v>46</v>
      </c>
      <c r="E31" s="170">
        <f>Gesamt!E14</f>
        <v>79.08</v>
      </c>
    </row>
    <row r="32" spans="1:21" x14ac:dyDescent="0.25">
      <c r="A32" s="973"/>
    </row>
    <row r="33" spans="1:10" s="425" customFormat="1" x14ac:dyDescent="0.25">
      <c r="A33" s="973"/>
      <c r="J33" s="448"/>
    </row>
    <row r="34" spans="1:10" s="425" customFormat="1" ht="15.75" x14ac:dyDescent="0.25">
      <c r="A34" s="973"/>
      <c r="C34" s="433" t="str">
        <f>CONCATENATE(E5," von ", H4, " - ",F4,"en")</f>
        <v>Messung und CAD-Auswertung von Gelände - Längsprofilen</v>
      </c>
      <c r="J34" s="448"/>
    </row>
    <row r="35" spans="1:10" s="425" customFormat="1" x14ac:dyDescent="0.25">
      <c r="A35" s="973"/>
      <c r="C35" s="428" t="s">
        <v>426</v>
      </c>
      <c r="J35" s="448"/>
    </row>
    <row r="36" spans="1:10" s="425" customFormat="1" x14ac:dyDescent="0.25">
      <c r="A36" s="973"/>
      <c r="B36" s="437"/>
      <c r="C36" s="434" t="str">
        <f>VLOOKUP(F4,Konstante!O97:X98,10,FALSE)</f>
        <v>Hb = [(F3*l)+Si(F4*li*si)+(Potenz((l/n);0,5)/3)-1+(2/Potenz(n;0,1))]*IS*b+N</v>
      </c>
      <c r="D36" s="437"/>
      <c r="E36" s="437"/>
      <c r="F36" s="437"/>
      <c r="G36" s="437"/>
      <c r="H36" s="437"/>
      <c r="I36" s="437"/>
      <c r="J36" s="448"/>
    </row>
    <row r="37" spans="1:10" s="425" customFormat="1" x14ac:dyDescent="0.25">
      <c r="A37" s="973"/>
      <c r="B37" s="437"/>
      <c r="C37" s="437"/>
      <c r="D37" s="437"/>
      <c r="E37" s="437"/>
      <c r="F37" s="437"/>
      <c r="G37" s="437"/>
      <c r="H37" s="437"/>
      <c r="I37" s="437"/>
      <c r="J37" s="448"/>
    </row>
    <row r="38" spans="1:10" s="425" customFormat="1" x14ac:dyDescent="0.25">
      <c r="A38" s="973"/>
      <c r="B38" s="437"/>
      <c r="C38" s="425" t="s">
        <v>62</v>
      </c>
      <c r="E38" s="436" t="str">
        <f>H7</f>
        <v>1:200</v>
      </c>
      <c r="I38" s="437"/>
      <c r="J38" s="448"/>
    </row>
    <row r="39" spans="1:10" s="425" customFormat="1" x14ac:dyDescent="0.25">
      <c r="A39" s="973"/>
      <c r="C39" s="425" t="s">
        <v>73</v>
      </c>
      <c r="E39" s="447">
        <f>H6</f>
        <v>1</v>
      </c>
      <c r="J39" s="448"/>
    </row>
    <row r="40" spans="1:10" s="425" customFormat="1" x14ac:dyDescent="0.25">
      <c r="A40" s="973"/>
      <c r="J40" s="448"/>
    </row>
    <row r="41" spans="1:10" s="425" customFormat="1" ht="18" x14ac:dyDescent="0.25">
      <c r="A41" s="973"/>
      <c r="C41" s="443" t="s">
        <v>57</v>
      </c>
      <c r="D41" s="438"/>
      <c r="E41" s="1074" t="s">
        <v>63</v>
      </c>
      <c r="F41" s="1074"/>
      <c r="G41" s="1075" t="s">
        <v>58</v>
      </c>
      <c r="H41" s="1075"/>
      <c r="J41" s="451"/>
    </row>
    <row r="42" spans="1:10" s="425" customFormat="1" x14ac:dyDescent="0.25">
      <c r="A42" s="973"/>
      <c r="C42" s="436" t="str">
        <f>IF(AND($D9&gt;0,$F9&gt;0.05),"n1=","")</f>
        <v/>
      </c>
      <c r="D42" s="426" t="str">
        <f>IF(AND($D9&gt;0,$F9&gt;0.05),D9,"")</f>
        <v/>
      </c>
      <c r="E42" s="436" t="str">
        <f>IF(AND($D9&gt;0,$F9&gt;0.05),"l1=","")</f>
        <v/>
      </c>
      <c r="F42" s="503" t="str">
        <f>IF(AND($D9&gt;0,$F9&gt;0.05),F9,"")</f>
        <v/>
      </c>
      <c r="G42" s="436" t="str">
        <f>IF(AND($D9&gt;0,$F9&gt;0.05),"s1=","")</f>
        <v/>
      </c>
      <c r="H42" s="426" t="str">
        <f>IF(AND($D9&gt;0,$F9&gt;0.05),H9,"")</f>
        <v/>
      </c>
      <c r="J42" s="451"/>
    </row>
    <row r="43" spans="1:10" s="425" customFormat="1" x14ac:dyDescent="0.25">
      <c r="A43" s="973"/>
      <c r="C43" s="436" t="str">
        <f>IF(AND($D10&gt;0,$F10&gt;0.05),"n2=","")</f>
        <v/>
      </c>
      <c r="D43" s="426" t="str">
        <f>IF(AND($D10&gt;0,$F10&gt;0.05),D10,"")</f>
        <v/>
      </c>
      <c r="E43" s="436" t="str">
        <f>IF(AND($D10&gt;0,$F10&gt;0.05),"l2=","")</f>
        <v/>
      </c>
      <c r="F43" s="503" t="str">
        <f>IF(AND($D10&gt;0,$F10&gt;0.05),F10,"")</f>
        <v/>
      </c>
      <c r="G43" s="436" t="str">
        <f>IF(AND($D10&gt;0,$F10&gt;0.05),"s2=","")</f>
        <v/>
      </c>
      <c r="H43" s="426" t="str">
        <f t="shared" ref="H43" si="2">IF(AND($D10&gt;0,$F10&gt;0.05),H10,"")</f>
        <v/>
      </c>
      <c r="J43" s="451"/>
    </row>
    <row r="44" spans="1:10" s="425" customFormat="1" x14ac:dyDescent="0.25">
      <c r="A44" s="973"/>
      <c r="C44" s="436" t="str">
        <f>IF(AND($D11&gt;0,$F11&gt;0.05),"n3=","")</f>
        <v/>
      </c>
      <c r="D44" s="426" t="str">
        <f>IF(AND($D11&gt;0,$F11&gt;0.05),D11,"")</f>
        <v/>
      </c>
      <c r="E44" s="436" t="str">
        <f>IF(AND($D11&gt;0,$F11&gt;0.05),"l3=","")</f>
        <v/>
      </c>
      <c r="F44" s="503" t="str">
        <f>IF(AND($D11&gt;0,$F11&gt;0.05),F11,"")</f>
        <v/>
      </c>
      <c r="G44" s="436" t="str">
        <f>IF(AND($D11&gt;0,$F11&gt;0.05),"s3=","")</f>
        <v/>
      </c>
      <c r="H44" s="426" t="str">
        <f>IF(AND($D11&gt;0,$F11&gt;0.05),H11,"")</f>
        <v/>
      </c>
      <c r="J44" s="451"/>
    </row>
    <row r="45" spans="1:10" s="425" customFormat="1" x14ac:dyDescent="0.25">
      <c r="A45" s="973"/>
      <c r="C45" s="499" t="str">
        <f>IF(nplus&gt;0,"n-zusätzlich","")</f>
        <v/>
      </c>
      <c r="D45" s="500" t="str">
        <f>IF(nplus&gt;0,nplus,"")</f>
        <v/>
      </c>
      <c r="E45" s="500" t="str">
        <f>IF(nplus&gt;0,CONCATENATE("weil Profile durchschnittlich länger ",Konstante!U101,"m"),"")</f>
        <v/>
      </c>
      <c r="F45" s="501"/>
      <c r="G45" s="500"/>
      <c r="H45" s="500"/>
      <c r="J45" s="451"/>
    </row>
    <row r="46" spans="1:10" s="425" customFormat="1" x14ac:dyDescent="0.25">
      <c r="A46" s="973"/>
      <c r="C46" s="436" t="str">
        <f>IF(AND($D12&gt;0,$F12&gt;0.05),"n=","")</f>
        <v/>
      </c>
      <c r="D46" s="439" t="str">
        <f>IF(AND($D12&gt;0,$F12&gt;0.05),SUM(D42:D45),"")</f>
        <v/>
      </c>
      <c r="E46" s="440" t="str">
        <f>IF(AND($D12&gt;0,$F12&gt;0.05),"l=","")</f>
        <v/>
      </c>
      <c r="F46" s="504" t="str">
        <f>IF(AND($D12&gt;0,$F12&gt;0.05),SUM(F42:F44),"")</f>
        <v/>
      </c>
      <c r="G46" s="432"/>
      <c r="H46" s="493"/>
      <c r="J46" s="448"/>
    </row>
    <row r="47" spans="1:10" s="425" customFormat="1" x14ac:dyDescent="0.25">
      <c r="A47" s="973"/>
      <c r="D47" s="432"/>
      <c r="E47" s="441" t="str">
        <f>IF(AND($D12&gt;0,$F12&gt;0.05),"durchschnittliche Profillänge=","")</f>
        <v/>
      </c>
      <c r="F47" s="442" t="str">
        <f>IF(F19&gt;0,(F46/SUM(D42:D44)),"")</f>
        <v/>
      </c>
      <c r="G47" s="432"/>
      <c r="J47" s="448"/>
    </row>
    <row r="48" spans="1:10" s="425" customFormat="1" x14ac:dyDescent="0.25">
      <c r="A48" s="973"/>
      <c r="J48" s="448"/>
    </row>
    <row r="49" spans="1:18" s="428" customFormat="1" x14ac:dyDescent="0.25">
      <c r="A49" s="973"/>
      <c r="C49" s="428" t="s">
        <v>64</v>
      </c>
      <c r="F49" s="467" t="str">
        <f ca="1">INDIRECT("L"&amp;SUM(7,VLOOKUP(F$4,Konstante!O$97:P$98,2,FALSE)))</f>
        <v/>
      </c>
      <c r="J49" s="468"/>
      <c r="K49" s="469"/>
      <c r="L49" s="470"/>
      <c r="M49" s="471"/>
      <c r="N49" s="471"/>
      <c r="O49" s="471"/>
      <c r="P49" s="471"/>
      <c r="Q49" s="471"/>
      <c r="R49" s="468"/>
    </row>
    <row r="50" spans="1:18" x14ac:dyDescent="0.25">
      <c r="A50" s="973"/>
      <c r="F50" s="467"/>
    </row>
    <row r="51" spans="1:18" x14ac:dyDescent="0.25">
      <c r="A51" s="973"/>
      <c r="F51" s="436"/>
    </row>
    <row r="52" spans="1:18" x14ac:dyDescent="0.25">
      <c r="A52" s="973"/>
      <c r="C52" s="428" t="str">
        <f>IF(E5="Herauszeichnen aus bestehenden LH-Plänen",E5,"CAD-Auswertung")</f>
        <v>CAD-Auswertung</v>
      </c>
      <c r="F52" s="436"/>
    </row>
    <row r="53" spans="1:18" x14ac:dyDescent="0.25">
      <c r="A53" s="973"/>
      <c r="C53" s="434" t="str">
        <f>Konstante!X99</f>
        <v>Hc = [(F5*l)+Si(F6*li*si)+(0,19*n)+(Potenz((l/n);0,25)/6)-1+(1/Potenz(n;0,25))]*IS+N</v>
      </c>
      <c r="F53" s="436"/>
    </row>
    <row r="54" spans="1:18" x14ac:dyDescent="0.25">
      <c r="A54" s="973"/>
      <c r="F54" s="436"/>
    </row>
    <row r="55" spans="1:18" s="428" customFormat="1" x14ac:dyDescent="0.25">
      <c r="A55" s="973"/>
      <c r="C55" s="428" t="s">
        <v>64</v>
      </c>
      <c r="F55" s="467" t="str">
        <f>Hc</f>
        <v/>
      </c>
      <c r="J55" s="468"/>
      <c r="K55" s="469"/>
      <c r="L55" s="470"/>
      <c r="M55" s="471"/>
      <c r="N55" s="471"/>
      <c r="O55" s="471"/>
      <c r="P55" s="471"/>
      <c r="Q55" s="471"/>
      <c r="R55" s="468"/>
    </row>
    <row r="56" spans="1:18" x14ac:dyDescent="0.25">
      <c r="A56" s="973"/>
      <c r="F56" s="436"/>
    </row>
    <row r="57" spans="1:18" x14ac:dyDescent="0.25">
      <c r="A57" s="973"/>
      <c r="C57" s="425" t="str">
        <f>IF(AND(E16&lt;&gt;0,F19&lt;&gt;0),"Zu-/Abschlag:","")</f>
        <v/>
      </c>
      <c r="E57" s="444" t="str">
        <f>IF(AND(E16&lt;&gt;0,F19&lt;&gt;0),E16,"")</f>
        <v/>
      </c>
      <c r="F57" s="446" t="str">
        <f>IF(AND(E16&lt;&gt;0,F19&lt;&gt;0),(F49+F55)*E57,"")</f>
        <v/>
      </c>
      <c r="G57" s="426" t="str">
        <f>IF(AND(E16&lt;&gt;0,F19&lt;&gt;0,G16&lt;&gt;""),G16,"")</f>
        <v/>
      </c>
    </row>
    <row r="58" spans="1:18" x14ac:dyDescent="0.25">
      <c r="A58" s="973"/>
      <c r="F58" s="436"/>
      <c r="G58" s="426"/>
    </row>
    <row r="59" spans="1:18" x14ac:dyDescent="0.25">
      <c r="A59" s="973"/>
      <c r="C59" s="425" t="str">
        <f>IF(AND(E17&lt;&gt;0,F19&lt;&gt;0),"Nebenkosten:","")</f>
        <v/>
      </c>
      <c r="F59" s="446" t="str">
        <f>IF(AND(E17&lt;&gt;0,F19&lt;&gt;0),E17,"")</f>
        <v/>
      </c>
      <c r="G59" s="426" t="str">
        <f>IF(AND(E17&lt;&gt;0,F19&lt;&gt;0,G17&lt;&gt;""),G17,"")</f>
        <v/>
      </c>
    </row>
    <row r="60" spans="1:18" x14ac:dyDescent="0.25">
      <c r="A60" s="973"/>
      <c r="C60" s="108"/>
      <c r="D60" s="108"/>
      <c r="E60" s="108"/>
      <c r="F60" s="108"/>
      <c r="G60" s="108"/>
      <c r="H60" s="108"/>
    </row>
    <row r="61" spans="1:18" s="445" customFormat="1" ht="15.75" x14ac:dyDescent="0.25">
      <c r="A61" s="973"/>
      <c r="C61" s="425"/>
      <c r="D61" s="425"/>
      <c r="E61" s="425"/>
      <c r="F61" s="425"/>
      <c r="G61" s="425"/>
      <c r="H61" s="425"/>
      <c r="J61" s="452"/>
      <c r="K61" s="464"/>
      <c r="L61" s="465"/>
      <c r="M61" s="466"/>
      <c r="N61" s="466"/>
      <c r="O61" s="466"/>
      <c r="P61" s="466"/>
      <c r="Q61" s="466"/>
      <c r="R61" s="452"/>
    </row>
    <row r="62" spans="1:18" ht="15.75" x14ac:dyDescent="0.25">
      <c r="A62" s="973"/>
      <c r="C62" s="445" t="s">
        <v>71</v>
      </c>
      <c r="D62" s="445"/>
      <c r="E62" s="445"/>
      <c r="F62" s="445"/>
      <c r="G62" s="967">
        <f>IF(F19&gt;0,SUM(F49,F55,F57,F59),0)</f>
        <v>0</v>
      </c>
      <c r="H62" s="967"/>
    </row>
    <row r="63" spans="1:18" x14ac:dyDescent="0.25">
      <c r="A63" s="973"/>
    </row>
    <row r="64" spans="1:18" x14ac:dyDescent="0.25">
      <c r="A64" s="973"/>
    </row>
    <row r="65" spans="1:1" s="425" customFormat="1" x14ac:dyDescent="0.25">
      <c r="A65" s="973"/>
    </row>
    <row r="66" spans="1:1" s="425" customFormat="1" x14ac:dyDescent="0.25">
      <c r="A66" s="973"/>
    </row>
    <row r="67" spans="1:1" s="425" customFormat="1" x14ac:dyDescent="0.25">
      <c r="A67" s="973"/>
    </row>
    <row r="68" spans="1:1" s="425" customFormat="1" x14ac:dyDescent="0.25">
      <c r="A68" s="973"/>
    </row>
    <row r="69" spans="1:1" s="425" customFormat="1" x14ac:dyDescent="0.25">
      <c r="A69" s="973"/>
    </row>
  </sheetData>
  <mergeCells count="18">
    <mergeCell ref="O12:T12"/>
    <mergeCell ref="K5:N6"/>
    <mergeCell ref="B25:I25"/>
    <mergeCell ref="B22:I22"/>
    <mergeCell ref="B23:I23"/>
    <mergeCell ref="B24:I24"/>
    <mergeCell ref="G17:H17"/>
    <mergeCell ref="G8:H8"/>
    <mergeCell ref="G16:H16"/>
    <mergeCell ref="E41:F41"/>
    <mergeCell ref="G41:H41"/>
    <mergeCell ref="A21:A69"/>
    <mergeCell ref="G19:H19"/>
    <mergeCell ref="B27:I27"/>
    <mergeCell ref="A1:A20"/>
    <mergeCell ref="E5:H5"/>
    <mergeCell ref="D2:H2"/>
    <mergeCell ref="G62:H62"/>
  </mergeCells>
  <dataValidations count="4">
    <dataValidation type="whole" operator="greaterThan" allowBlank="1" showInputMessage="1" showErrorMessage="1" sqref="D9:D11">
      <formula1>0</formula1>
    </dataValidation>
    <dataValidation type="decimal" operator="greaterThan" allowBlank="1" showInputMessage="1" showErrorMessage="1" error="Profillänge muss größer 0 sein!" sqref="F9:F11">
      <formula1>0</formula1>
    </dataValidation>
    <dataValidation type="decimal" operator="greaterThan" showInputMessage="1" showErrorMessage="1" sqref="E16">
      <formula1>-1000</formula1>
    </dataValidation>
    <dataValidation type="decimal" operator="greaterThan" showInputMessage="1" showErrorMessage="1" sqref="E17">
      <formula1>-1000000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Konstante!$C$97:$C$103</xm:f>
          </x14:formula1>
          <xm:sqref>H7</xm:sqref>
        </x14:dataValidation>
        <x14:dataValidation type="list" allowBlank="1" showInputMessage="1" showErrorMessage="1">
          <x14:formula1>
            <xm:f>Konstante!$Q$97:$Q$98</xm:f>
          </x14:formula1>
          <xm:sqref>H4</xm:sqref>
        </x14:dataValidation>
        <x14:dataValidation type="list" allowBlank="1" showInputMessage="1" showErrorMessage="1">
          <x14:formula1>
            <xm:f>Konstante!$O$97:$O$98</xm:f>
          </x14:formula1>
          <xm:sqref>F4</xm:sqref>
        </x14:dataValidation>
        <x14:dataValidation type="list" allowBlank="1" showInputMessage="1" showErrorMessage="1">
          <x14:formula1>
            <xm:f>Konstante!$S$97:$S$98</xm:f>
          </x14:formula1>
          <xm:sqref>E5:H5</xm:sqref>
        </x14:dataValidation>
        <x14:dataValidation type="list" allowBlank="1" showInputMessage="1" showErrorMessage="1">
          <x14:formula1>
            <xm:f>Konstante!$K$97:$K$105</xm:f>
          </x14:formula1>
          <xm:sqref>H9:H11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zoomScaleSheetLayoutView="100" workbookViewId="0">
      <selection activeCell="C11" sqref="C11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  <col min="10" max="10" width="8.7109375" style="27" customWidth="1"/>
    <col min="11" max="11" width="11.42578125" style="136"/>
    <col min="12" max="13" width="11.42578125" style="137"/>
    <col min="14" max="18" width="11.42578125" style="210"/>
  </cols>
  <sheetData>
    <row r="1" spans="1:19" ht="17.25" customHeight="1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N1" s="210">
        <f ca="1">CELL("ZEILE",B27)</f>
        <v>27</v>
      </c>
    </row>
    <row r="2" spans="1:19" ht="22.5" customHeight="1" x14ac:dyDescent="0.25">
      <c r="A2" s="975"/>
      <c r="B2" s="64"/>
      <c r="C2" s="65" t="s">
        <v>36</v>
      </c>
      <c r="D2" s="1051" t="s">
        <v>714</v>
      </c>
      <c r="E2" s="1052"/>
      <c r="F2" s="1052"/>
      <c r="G2" s="1052"/>
      <c r="H2" s="1053"/>
      <c r="I2" s="63"/>
      <c r="K2" s="268" t="s">
        <v>793</v>
      </c>
      <c r="L2" s="236"/>
      <c r="M2" s="236"/>
      <c r="N2" s="268">
        <f ca="1">CELL("ZEILE",G55)</f>
        <v>55</v>
      </c>
      <c r="O2" s="268"/>
      <c r="P2" s="268"/>
    </row>
    <row r="3" spans="1:19" ht="22.5" customHeight="1" x14ac:dyDescent="0.25">
      <c r="A3" s="975"/>
      <c r="B3" s="64"/>
      <c r="C3" s="89"/>
      <c r="D3" s="1093"/>
      <c r="E3" s="1094"/>
      <c r="F3" s="1094"/>
      <c r="G3" s="1094"/>
      <c r="H3" s="1095"/>
      <c r="I3" s="63"/>
      <c r="K3" s="268" t="s">
        <v>794</v>
      </c>
      <c r="L3" s="236"/>
      <c r="M3" s="236"/>
      <c r="N3" s="268">
        <f>F19</f>
        <v>0</v>
      </c>
      <c r="O3" s="268"/>
      <c r="P3" s="268"/>
    </row>
    <row r="4" spans="1:19" ht="17.25" customHeight="1" x14ac:dyDescent="0.25">
      <c r="A4" s="975"/>
      <c r="B4" s="64"/>
      <c r="C4" s="92"/>
      <c r="D4" s="19"/>
      <c r="E4" s="19"/>
      <c r="F4" s="90"/>
      <c r="G4" s="90"/>
      <c r="H4" s="91"/>
      <c r="I4" s="63"/>
      <c r="K4" s="268"/>
      <c r="L4" s="236"/>
      <c r="M4" s="236"/>
      <c r="N4" s="268"/>
      <c r="O4" s="268"/>
      <c r="P4" s="268"/>
      <c r="Q4" s="268"/>
      <c r="S4" s="7"/>
    </row>
    <row r="5" spans="1:19" ht="17.25" customHeight="1" x14ac:dyDescent="0.25">
      <c r="A5" s="975"/>
      <c r="B5" s="64"/>
      <c r="C5" s="99" t="s">
        <v>188</v>
      </c>
      <c r="D5" s="1046" t="s">
        <v>228</v>
      </c>
      <c r="E5" s="1046"/>
      <c r="F5" s="1046"/>
      <c r="G5" s="1046"/>
      <c r="H5" s="1026"/>
      <c r="I5" s="63"/>
      <c r="K5" s="268">
        <f>VLOOKUP(D5,Konstante!P113:Q118,2,FALSE)</f>
        <v>1</v>
      </c>
      <c r="L5" s="236"/>
      <c r="M5" s="236" t="s">
        <v>152</v>
      </c>
      <c r="N5" s="268"/>
      <c r="O5" s="268"/>
      <c r="P5" s="268"/>
      <c r="S5" s="7"/>
    </row>
    <row r="6" spans="1:19" ht="17.25" customHeight="1" x14ac:dyDescent="0.25">
      <c r="A6" s="975"/>
      <c r="B6" s="64"/>
      <c r="C6" s="92"/>
      <c r="D6" s="19"/>
      <c r="E6" s="19"/>
      <c r="F6" s="19"/>
      <c r="G6" s="19"/>
      <c r="H6" s="93"/>
      <c r="I6" s="63"/>
      <c r="K6" s="210"/>
      <c r="M6" s="236" t="s">
        <v>153</v>
      </c>
      <c r="S6" s="7"/>
    </row>
    <row r="7" spans="1:19" ht="19.5" customHeight="1" x14ac:dyDescent="0.25">
      <c r="A7" s="975"/>
      <c r="B7" s="64"/>
      <c r="C7" s="99"/>
      <c r="D7" s="207"/>
      <c r="E7" s="19"/>
      <c r="F7" s="19"/>
      <c r="G7" s="19"/>
      <c r="H7" s="93"/>
      <c r="I7" s="63"/>
      <c r="K7" s="210"/>
      <c r="L7" s="209"/>
      <c r="M7" s="209"/>
      <c r="S7" s="7"/>
    </row>
    <row r="8" spans="1:19" s="2" customFormat="1" ht="20.100000000000001" customHeight="1" x14ac:dyDescent="0.25">
      <c r="A8" s="975"/>
      <c r="B8" s="64"/>
      <c r="C8" s="92"/>
      <c r="D8" s="19"/>
      <c r="E8" s="19"/>
      <c r="F8" s="19"/>
      <c r="G8" s="19"/>
      <c r="H8" s="93"/>
      <c r="I8" s="65"/>
      <c r="J8" s="28"/>
      <c r="K8" s="142"/>
      <c r="L8" s="292"/>
      <c r="M8" s="293"/>
      <c r="N8" s="142"/>
      <c r="O8" s="142"/>
      <c r="P8" s="142"/>
      <c r="Q8" s="142"/>
      <c r="R8" s="142"/>
    </row>
    <row r="9" spans="1:19" s="2" customFormat="1" ht="20.100000000000001" customHeight="1" x14ac:dyDescent="0.25">
      <c r="A9" s="975"/>
      <c r="B9" s="64"/>
      <c r="C9" s="1089" t="s">
        <v>218</v>
      </c>
      <c r="D9" s="1092" t="s">
        <v>217</v>
      </c>
      <c r="E9" s="1092" t="s">
        <v>236</v>
      </c>
      <c r="F9" s="1089" t="s">
        <v>163</v>
      </c>
      <c r="G9" s="1089" t="s">
        <v>235</v>
      </c>
      <c r="H9" s="1096" t="s">
        <v>220</v>
      </c>
      <c r="I9" s="64"/>
      <c r="J9" s="28"/>
      <c r="K9" s="142"/>
      <c r="L9" s="292"/>
      <c r="M9" s="293"/>
      <c r="N9" s="142"/>
      <c r="O9" s="142"/>
      <c r="P9" s="142"/>
      <c r="Q9" s="142"/>
      <c r="R9" s="142"/>
    </row>
    <row r="10" spans="1:19" s="2" customFormat="1" ht="20.100000000000001" customHeight="1" x14ac:dyDescent="0.25">
      <c r="A10" s="975"/>
      <c r="B10" s="64"/>
      <c r="C10" s="1089"/>
      <c r="D10" s="1092"/>
      <c r="E10" s="1092"/>
      <c r="F10" s="1089"/>
      <c r="G10" s="1089"/>
      <c r="H10" s="1096"/>
      <c r="I10" s="64"/>
      <c r="J10" s="28"/>
      <c r="K10" s="142" t="s">
        <v>226</v>
      </c>
      <c r="L10" s="292" t="s">
        <v>237</v>
      </c>
      <c r="M10" s="293" t="s">
        <v>216</v>
      </c>
      <c r="N10" s="192"/>
      <c r="O10" s="142"/>
      <c r="P10" s="142" t="s">
        <v>870</v>
      </c>
      <c r="Q10" s="142" t="s">
        <v>235</v>
      </c>
      <c r="R10" s="142"/>
    </row>
    <row r="11" spans="1:19" s="2" customFormat="1" ht="20.100000000000001" customHeight="1" x14ac:dyDescent="0.25">
      <c r="A11" s="975"/>
      <c r="B11" s="64"/>
      <c r="C11" s="290"/>
      <c r="D11" s="291">
        <v>10</v>
      </c>
      <c r="E11" s="713">
        <v>1</v>
      </c>
      <c r="F11" s="100" t="s">
        <v>17</v>
      </c>
      <c r="G11" s="100" t="s">
        <v>153</v>
      </c>
      <c r="H11" s="295"/>
      <c r="I11" s="64"/>
      <c r="J11" s="28"/>
      <c r="K11" s="142">
        <f>VLOOKUP(E11,Konstante!$M$113:$N$117,2,FALSE)</f>
        <v>1</v>
      </c>
      <c r="L11" s="292">
        <f>VLOOKUP(F11,Konstante!$C$112:$H$120,VLOOKUP(D11,Konstante!$J$112:$K$116,2,FALSE),FALSE)</f>
        <v>0.72099999999999997</v>
      </c>
      <c r="M11" s="294">
        <f>IF(G11="ja",1.1,1)</f>
        <v>1</v>
      </c>
      <c r="N11" s="192">
        <f>(2.5*H11+K11*L11*C11*$K$5)*M11*Gesamt!$E$14</f>
        <v>0</v>
      </c>
      <c r="O11" s="142"/>
      <c r="P11" s="142">
        <f>IF(C11&gt;0,1,0)</f>
        <v>0</v>
      </c>
      <c r="Q11" s="142">
        <f>IF(P11=1,IF(G11="ja",1,0),0)</f>
        <v>0</v>
      </c>
      <c r="R11" s="142"/>
    </row>
    <row r="12" spans="1:19" s="2" customFormat="1" ht="20.100000000000001" customHeight="1" x14ac:dyDescent="0.25">
      <c r="A12" s="975"/>
      <c r="B12" s="64"/>
      <c r="C12" s="290"/>
      <c r="D12" s="291">
        <v>10</v>
      </c>
      <c r="E12" s="713">
        <v>1</v>
      </c>
      <c r="F12" s="100" t="s">
        <v>17</v>
      </c>
      <c r="G12" s="100" t="s">
        <v>153</v>
      </c>
      <c r="H12" s="295"/>
      <c r="I12" s="65"/>
      <c r="J12" s="28"/>
      <c r="K12" s="142">
        <f>VLOOKUP(E12,Konstante!$M$113:$N$117,2,FALSE)</f>
        <v>1</v>
      </c>
      <c r="L12" s="292">
        <f>VLOOKUP(F12,Konstante!$C$112:$H$120,VLOOKUP(D12,Konstante!$J$112:$K$116,2,FALSE),FALSE)</f>
        <v>0.72099999999999997</v>
      </c>
      <c r="M12" s="294">
        <f t="shared" ref="M12:M13" si="0">IF(G12="ja",1.1,1)</f>
        <v>1</v>
      </c>
      <c r="N12" s="192">
        <f>(2.5*H12+K12*L12*C12*$K$5)*M12*Gesamt!$E$14</f>
        <v>0</v>
      </c>
      <c r="O12" s="142"/>
      <c r="P12" s="142">
        <f t="shared" ref="P12:P13" si="1">IF(C12&gt;0,1,0)</f>
        <v>0</v>
      </c>
      <c r="Q12" s="142">
        <f t="shared" ref="Q12:Q13" si="2">IF(P12=1,IF(G12="ja",1,0),0)</f>
        <v>0</v>
      </c>
      <c r="R12" s="142"/>
    </row>
    <row r="13" spans="1:19" s="2" customFormat="1" ht="20.100000000000001" customHeight="1" x14ac:dyDescent="0.25">
      <c r="A13" s="975"/>
      <c r="B13" s="63"/>
      <c r="C13" s="290"/>
      <c r="D13" s="291">
        <v>10</v>
      </c>
      <c r="E13" s="713">
        <v>1</v>
      </c>
      <c r="F13" s="100" t="s">
        <v>17</v>
      </c>
      <c r="G13" s="100" t="s">
        <v>153</v>
      </c>
      <c r="H13" s="295"/>
      <c r="I13" s="65"/>
      <c r="J13" s="28"/>
      <c r="K13" s="142">
        <f>VLOOKUP(E13,Konstante!$M$113:$N$117,2,FALSE)</f>
        <v>1</v>
      </c>
      <c r="L13" s="292">
        <f>VLOOKUP(F13,Konstante!$C$112:$H$120,VLOOKUP(D13,Konstante!$J$112:$K$116,2,FALSE),FALSE)</f>
        <v>0.72099999999999997</v>
      </c>
      <c r="M13" s="294">
        <f t="shared" si="0"/>
        <v>1</v>
      </c>
      <c r="N13" s="734">
        <f>(2.5*H13+K13*L13*C13*$K$5)*M13*Gesamt!$E$14</f>
        <v>0</v>
      </c>
      <c r="O13" s="142"/>
      <c r="P13" s="142">
        <f t="shared" si="1"/>
        <v>0</v>
      </c>
      <c r="Q13" s="142">
        <f t="shared" si="2"/>
        <v>0</v>
      </c>
      <c r="R13" s="142"/>
    </row>
    <row r="14" spans="1:19" s="2" customFormat="1" ht="20.100000000000001" customHeight="1" x14ac:dyDescent="0.25">
      <c r="A14" s="975"/>
      <c r="B14" s="64"/>
      <c r="C14" s="296">
        <f>SUM(C11:C13)</f>
        <v>0</v>
      </c>
      <c r="D14" s="297" t="str">
        <f>IF(C14&gt;1,"Punkte","Punkt")</f>
        <v>Punkt</v>
      </c>
      <c r="E14" s="297"/>
      <c r="F14" s="297"/>
      <c r="G14" s="298" t="s">
        <v>238</v>
      </c>
      <c r="H14" s="299">
        <f>SUM(H11:H13)</f>
        <v>0</v>
      </c>
      <c r="I14" s="65"/>
      <c r="J14" s="28"/>
      <c r="K14" s="142"/>
      <c r="L14" s="211"/>
      <c r="M14" s="144"/>
      <c r="N14" s="735">
        <f>IF(F19&lt;&gt;0,SUM(N11:N13),0)</f>
        <v>0</v>
      </c>
      <c r="O14" s="142"/>
      <c r="P14" s="142">
        <f>SUM(P11:P13)</f>
        <v>0</v>
      </c>
      <c r="Q14" s="142">
        <f>SUM(Q11:Q13)</f>
        <v>0</v>
      </c>
      <c r="R14" s="142" t="s">
        <v>872</v>
      </c>
    </row>
    <row r="15" spans="1:19" s="2" customFormat="1" ht="20.100000000000001" customHeight="1" x14ac:dyDescent="0.25">
      <c r="A15" s="975"/>
      <c r="B15" s="64"/>
      <c r="C15" s="92"/>
      <c r="D15" s="19"/>
      <c r="E15" s="19"/>
      <c r="F15" s="712" t="s">
        <v>717</v>
      </c>
      <c r="G15" s="19"/>
      <c r="H15" s="93"/>
      <c r="I15" s="65"/>
      <c r="J15" s="28"/>
      <c r="K15" s="142"/>
      <c r="L15" s="211"/>
      <c r="M15" s="144"/>
      <c r="N15" s="227"/>
      <c r="O15" s="142"/>
      <c r="P15" s="142"/>
      <c r="Q15" s="142">
        <f>IF(Q14=0,1,IF(Q14=P14,2,3))</f>
        <v>1</v>
      </c>
      <c r="R15" s="142"/>
    </row>
    <row r="16" spans="1:19" s="2" customFormat="1" ht="20.100000000000001" customHeight="1" x14ac:dyDescent="0.25">
      <c r="A16" s="975"/>
      <c r="B16" s="64"/>
      <c r="C16" s="102" t="s">
        <v>624</v>
      </c>
      <c r="D16" s="709"/>
      <c r="E16" s="476"/>
      <c r="F16" s="1000"/>
      <c r="G16" s="1001"/>
      <c r="H16" s="93"/>
      <c r="I16" s="65"/>
      <c r="J16" s="28"/>
      <c r="K16" s="142"/>
      <c r="L16" s="144"/>
      <c r="M16" s="144"/>
      <c r="N16" s="734">
        <f>N14*D16</f>
        <v>0</v>
      </c>
      <c r="O16" s="142"/>
      <c r="P16" s="142"/>
      <c r="Q16" s="142"/>
      <c r="R16" s="142"/>
    </row>
    <row r="17" spans="1:18" s="2" customFormat="1" ht="20.100000000000001" customHeight="1" x14ac:dyDescent="0.25">
      <c r="A17" s="975"/>
      <c r="B17" s="64"/>
      <c r="C17" s="99" t="s">
        <v>705</v>
      </c>
      <c r="D17" s="707"/>
      <c r="E17" s="476"/>
      <c r="F17" s="476"/>
      <c r="G17" s="476"/>
      <c r="H17" s="93"/>
      <c r="I17" s="65"/>
      <c r="J17" s="28"/>
      <c r="K17" s="142"/>
      <c r="L17" s="144"/>
      <c r="M17" s="144"/>
      <c r="N17" s="734">
        <f>D17</f>
        <v>0</v>
      </c>
      <c r="O17" s="142"/>
      <c r="P17" s="142" t="s">
        <v>874</v>
      </c>
      <c r="Q17" s="142"/>
      <c r="R17" s="142"/>
    </row>
    <row r="18" spans="1:18" s="2" customFormat="1" ht="20.100000000000001" customHeight="1" x14ac:dyDescent="0.25">
      <c r="A18" s="975"/>
      <c r="B18" s="64"/>
      <c r="C18" s="94"/>
      <c r="D18" s="95"/>
      <c r="E18" s="95"/>
      <c r="F18" s="95"/>
      <c r="G18" s="95"/>
      <c r="H18" s="96"/>
      <c r="I18" s="63"/>
      <c r="J18" s="28"/>
      <c r="K18" s="140"/>
      <c r="L18" s="144"/>
      <c r="M18" s="144"/>
      <c r="N18" s="735">
        <f>SUM(N14:N17)</f>
        <v>0</v>
      </c>
      <c r="O18" s="142"/>
      <c r="P18" s="142">
        <v>1</v>
      </c>
      <c r="Q18" s="142" t="s">
        <v>876</v>
      </c>
      <c r="R18" s="142"/>
    </row>
    <row r="19" spans="1:18" ht="19.5" customHeight="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7">
        <f>IF(OR(AND(C11&lt;1,C12&lt;1,C13&lt;1),AND(H11&lt;1,H12&lt;1,H13&lt;1)),0,1)</f>
        <v>0</v>
      </c>
      <c r="G19" s="999" t="str">
        <f>IF(F19&lt;&gt;0, N18,"")</f>
        <v/>
      </c>
      <c r="H19" s="999"/>
      <c r="I19" s="63"/>
      <c r="M19" s="136"/>
      <c r="P19" s="210">
        <v>2</v>
      </c>
      <c r="Q19" s="210" t="s">
        <v>875</v>
      </c>
    </row>
    <row r="20" spans="1:18" ht="19.5" customHeight="1" x14ac:dyDescent="0.25">
      <c r="A20" s="975"/>
      <c r="B20" s="63"/>
      <c r="C20" s="63"/>
      <c r="D20" s="63"/>
      <c r="E20" s="63"/>
      <c r="F20" s="63"/>
      <c r="G20" s="63"/>
      <c r="H20" s="63"/>
      <c r="I20" s="63"/>
      <c r="P20" s="210">
        <v>3</v>
      </c>
      <c r="Q20" s="210" t="str">
        <f>CONCATENATE(Q18,"               (ohne Höhe)",CHAR(10),Q19,"   (mit Höhe)")</f>
        <v>H = ( 2,5 * E + G * T * n * R ) * IS + N               (ohne Höhe)
H = ( 2,5 * E + G * T * n * R ) * 1,10 * IS+ N   (mit Höhe)</v>
      </c>
    </row>
    <row r="21" spans="1:18" x14ac:dyDescent="0.25">
      <c r="A21" s="973" t="s">
        <v>72</v>
      </c>
    </row>
    <row r="22" spans="1:18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8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8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8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8" x14ac:dyDescent="0.25">
      <c r="A26" s="973"/>
    </row>
    <row r="27" spans="1:18" s="239" customFormat="1" ht="23.25" customHeight="1" x14ac:dyDescent="0.25">
      <c r="A27" s="973"/>
      <c r="B27" s="968" t="str">
        <f>D2</f>
        <v>ABSTECKUNGEN</v>
      </c>
      <c r="C27" s="994"/>
      <c r="D27" s="994"/>
      <c r="E27" s="994"/>
      <c r="F27" s="994"/>
      <c r="G27" s="994"/>
      <c r="H27" s="994"/>
      <c r="I27" s="994"/>
      <c r="J27" s="29"/>
      <c r="K27" s="145"/>
      <c r="L27" s="146"/>
      <c r="M27" s="146"/>
      <c r="N27" s="147"/>
      <c r="O27" s="147"/>
      <c r="P27" s="147"/>
      <c r="Q27" s="147"/>
      <c r="R27" s="147"/>
    </row>
    <row r="28" spans="1:18" x14ac:dyDescent="0.25">
      <c r="A28" s="973"/>
      <c r="C28" s="45"/>
      <c r="D28" s="45"/>
      <c r="E28" s="45"/>
      <c r="F28" s="45"/>
      <c r="G28" s="45"/>
      <c r="H28" s="45"/>
    </row>
    <row r="29" spans="1:18" x14ac:dyDescent="0.25">
      <c r="A29" s="973"/>
      <c r="C29" s="45" t="s">
        <v>787</v>
      </c>
      <c r="D29" s="45"/>
      <c r="E29" s="45"/>
      <c r="F29" s="45"/>
      <c r="G29" s="45"/>
      <c r="H29" s="45"/>
    </row>
    <row r="30" spans="1:18" x14ac:dyDescent="0.25">
      <c r="A30" s="973"/>
      <c r="C30" s="45"/>
      <c r="D30" s="45"/>
      <c r="E30" s="45"/>
      <c r="F30" s="45"/>
      <c r="G30" s="45"/>
      <c r="H30" s="45"/>
    </row>
    <row r="31" spans="1:18" x14ac:dyDescent="0.25">
      <c r="A31" s="973"/>
      <c r="C31" s="45" t="s">
        <v>46</v>
      </c>
      <c r="D31" s="45"/>
      <c r="E31" s="367">
        <f>Gesamt!E14</f>
        <v>79.08</v>
      </c>
      <c r="F31" s="45"/>
      <c r="G31" s="45"/>
      <c r="H31" s="45"/>
    </row>
    <row r="32" spans="1:18" x14ac:dyDescent="0.25">
      <c r="A32" s="973"/>
      <c r="B32" s="425"/>
      <c r="C32" s="473"/>
      <c r="D32" s="473"/>
      <c r="E32" s="367"/>
      <c r="F32" s="473"/>
      <c r="G32" s="473"/>
      <c r="H32" s="473"/>
      <c r="I32" s="425"/>
    </row>
    <row r="33" spans="1:18" x14ac:dyDescent="0.25">
      <c r="A33" s="973"/>
      <c r="B33" s="425"/>
      <c r="C33" s="1068" t="str">
        <f>VLOOKUP(Q15,P18:Q20,2)</f>
        <v>H = ( 2,5 * E + G * T * n * R ) * IS + N</v>
      </c>
      <c r="D33" s="1068"/>
      <c r="E33" s="1068"/>
      <c r="F33" s="1068"/>
      <c r="G33" s="1068"/>
      <c r="H33" s="1068"/>
      <c r="I33" s="425"/>
    </row>
    <row r="34" spans="1:18" x14ac:dyDescent="0.25">
      <c r="A34" s="973"/>
      <c r="B34" s="425"/>
      <c r="C34" s="1068"/>
      <c r="D34" s="1068"/>
      <c r="E34" s="1068"/>
      <c r="F34" s="1068"/>
      <c r="G34" s="1068"/>
      <c r="H34" s="1068"/>
      <c r="I34" s="425"/>
    </row>
    <row r="35" spans="1:18" x14ac:dyDescent="0.25">
      <c r="A35" s="973"/>
      <c r="C35" s="45"/>
      <c r="D35" s="45"/>
      <c r="E35" s="45"/>
      <c r="F35" s="45"/>
      <c r="G35" s="45"/>
      <c r="H35" s="45"/>
    </row>
    <row r="36" spans="1:18" x14ac:dyDescent="0.25">
      <c r="A36" s="973"/>
      <c r="C36" s="155" t="s">
        <v>188</v>
      </c>
      <c r="D36" s="45"/>
      <c r="E36" s="45" t="str">
        <f>D5</f>
        <v>Koordinatenverzeichnis im System der Landesvermessung</v>
      </c>
      <c r="F36" s="45"/>
      <c r="G36" s="45"/>
      <c r="H36" s="45"/>
    </row>
    <row r="37" spans="1:18" x14ac:dyDescent="0.25">
      <c r="A37" s="973"/>
      <c r="C37" s="155"/>
      <c r="D37" s="45"/>
      <c r="E37" s="45"/>
      <c r="F37" s="45"/>
      <c r="G37" s="45"/>
      <c r="H37" s="45"/>
    </row>
    <row r="38" spans="1:18" x14ac:dyDescent="0.25">
      <c r="A38" s="973"/>
      <c r="C38" s="135" t="s">
        <v>239</v>
      </c>
      <c r="D38" s="45"/>
      <c r="E38" s="200">
        <f>H14</f>
        <v>0</v>
      </c>
      <c r="F38" s="45"/>
      <c r="G38" s="45"/>
      <c r="H38" s="45"/>
    </row>
    <row r="39" spans="1:18" x14ac:dyDescent="0.25">
      <c r="A39" s="973"/>
      <c r="B39" s="22"/>
      <c r="C39" s="156"/>
      <c r="D39" s="156"/>
      <c r="E39" s="194"/>
      <c r="F39" s="156"/>
      <c r="G39" s="156"/>
      <c r="H39" s="156"/>
      <c r="I39" s="22"/>
    </row>
    <row r="40" spans="1:18" x14ac:dyDescent="0.25">
      <c r="A40" s="973"/>
      <c r="B40" s="22"/>
      <c r="C40" s="156"/>
      <c r="D40" s="156"/>
      <c r="E40" s="194"/>
      <c r="F40" s="156"/>
      <c r="G40" s="156"/>
      <c r="H40" s="156"/>
      <c r="I40" s="22"/>
      <c r="J40" s="30"/>
    </row>
    <row r="41" spans="1:18" x14ac:dyDescent="0.25">
      <c r="A41" s="973"/>
      <c r="C41" s="156"/>
      <c r="D41" s="156"/>
      <c r="E41" s="194"/>
      <c r="F41" s="156"/>
      <c r="G41" s="156"/>
      <c r="H41" s="156"/>
      <c r="J41" s="30"/>
    </row>
    <row r="42" spans="1:18" x14ac:dyDescent="0.25">
      <c r="A42" s="973"/>
      <c r="C42" s="1091" t="s">
        <v>218</v>
      </c>
      <c r="D42" s="1091" t="s">
        <v>217</v>
      </c>
      <c r="E42" s="1090" t="s">
        <v>241</v>
      </c>
      <c r="F42" s="1091" t="s">
        <v>163</v>
      </c>
      <c r="G42" s="1091" t="s">
        <v>240</v>
      </c>
      <c r="H42" s="156"/>
      <c r="J42" s="30"/>
    </row>
    <row r="43" spans="1:18" x14ac:dyDescent="0.25">
      <c r="A43" s="973"/>
      <c r="C43" s="1091"/>
      <c r="D43" s="1091"/>
      <c r="E43" s="1090"/>
      <c r="F43" s="1091"/>
      <c r="G43" s="1091"/>
      <c r="H43" s="45"/>
      <c r="J43" s="30"/>
    </row>
    <row r="44" spans="1:18" x14ac:dyDescent="0.25">
      <c r="A44" s="973"/>
      <c r="C44" s="240" t="str">
        <f>IF(C11&gt;0,C11,"")</f>
        <v/>
      </c>
      <c r="D44" s="301" t="str">
        <f t="shared" ref="D44:G46" si="3">IF($C11&gt;0,D11,"")</f>
        <v/>
      </c>
      <c r="E44" s="714" t="str">
        <f t="shared" si="3"/>
        <v/>
      </c>
      <c r="F44" s="301" t="str">
        <f t="shared" si="3"/>
        <v/>
      </c>
      <c r="G44" s="301" t="str">
        <f t="shared" si="3"/>
        <v/>
      </c>
      <c r="H44" s="45"/>
    </row>
    <row r="45" spans="1:18" x14ac:dyDescent="0.25">
      <c r="A45" s="973"/>
      <c r="C45" s="240" t="str">
        <f>IF(C12&gt;0,C12,"")</f>
        <v/>
      </c>
      <c r="D45" s="301" t="str">
        <f t="shared" si="3"/>
        <v/>
      </c>
      <c r="E45" s="714" t="str">
        <f t="shared" si="3"/>
        <v/>
      </c>
      <c r="F45" s="301" t="str">
        <f t="shared" si="3"/>
        <v/>
      </c>
      <c r="G45" s="301" t="str">
        <f t="shared" si="3"/>
        <v/>
      </c>
      <c r="H45" s="45"/>
      <c r="K45" s="171"/>
    </row>
    <row r="46" spans="1:18" x14ac:dyDescent="0.25">
      <c r="A46" s="973"/>
      <c r="C46" s="219" t="str">
        <f>IF(C13&gt;0,C13,"")</f>
        <v/>
      </c>
      <c r="D46" s="302" t="str">
        <f t="shared" si="3"/>
        <v/>
      </c>
      <c r="E46" s="715" t="str">
        <f t="shared" si="3"/>
        <v/>
      </c>
      <c r="F46" s="302" t="str">
        <f t="shared" si="3"/>
        <v/>
      </c>
      <c r="G46" s="302" t="str">
        <f t="shared" si="3"/>
        <v/>
      </c>
      <c r="H46" s="241"/>
      <c r="K46" s="171"/>
    </row>
    <row r="47" spans="1:18" s="3" customFormat="1" x14ac:dyDescent="0.25">
      <c r="A47" s="973"/>
      <c r="B47"/>
      <c r="C47" s="216">
        <f>C14</f>
        <v>0</v>
      </c>
      <c r="D47" s="157" t="str">
        <f>CONCATENATE(" ",D14)</f>
        <v xml:space="preserve"> Punkt</v>
      </c>
      <c r="E47" s="214"/>
      <c r="F47" s="175"/>
      <c r="G47" s="154"/>
      <c r="H47" s="155"/>
      <c r="I47"/>
      <c r="J47" s="33"/>
      <c r="K47" s="172"/>
      <c r="L47" s="148"/>
      <c r="M47" s="148"/>
      <c r="N47" s="269"/>
      <c r="O47" s="269"/>
      <c r="P47" s="269"/>
      <c r="Q47" s="269"/>
      <c r="R47" s="269"/>
    </row>
    <row r="48" spans="1:18" x14ac:dyDescent="0.25">
      <c r="A48" s="973"/>
      <c r="C48" s="154"/>
      <c r="D48" s="173"/>
      <c r="E48" s="240"/>
      <c r="F48" s="175"/>
      <c r="G48" s="154"/>
      <c r="H48" s="155"/>
      <c r="K48" s="171"/>
    </row>
    <row r="49" spans="1:18" x14ac:dyDescent="0.25">
      <c r="A49" s="973"/>
      <c r="C49" s="176"/>
      <c r="D49" s="177"/>
      <c r="E49" s="216"/>
      <c r="F49" s="178"/>
      <c r="G49" s="176"/>
      <c r="H49" s="179"/>
    </row>
    <row r="50" spans="1:18" x14ac:dyDescent="0.25">
      <c r="A50" s="973"/>
      <c r="B50" s="3"/>
      <c r="C50" s="155" t="s">
        <v>64</v>
      </c>
      <c r="D50" s="45"/>
      <c r="E50" s="45"/>
      <c r="F50" s="170">
        <f>IF(F19&lt;&gt;0,ROUND(N14,2),0)</f>
        <v>0</v>
      </c>
      <c r="G50" s="156"/>
      <c r="H50" s="215"/>
      <c r="I50" s="3"/>
    </row>
    <row r="51" spans="1:18" x14ac:dyDescent="0.25">
      <c r="A51" s="973"/>
      <c r="C51" s="155" t="str">
        <f>IF(D16&lt;&gt;0,CONCATENATE(F16," (",D16*100,"%):"),"")</f>
        <v/>
      </c>
      <c r="D51" s="42"/>
      <c r="E51" s="185"/>
      <c r="F51" s="170" t="str">
        <f>IF(D16&lt;&gt;0,ROUND(N16,2),"")</f>
        <v/>
      </c>
      <c r="G51" s="42"/>
      <c r="H51" s="45"/>
    </row>
    <row r="52" spans="1:18" x14ac:dyDescent="0.25">
      <c r="A52" s="973"/>
      <c r="C52" s="155" t="str">
        <f>IF(N17&gt;0,"Nebenkosten:","")</f>
        <v/>
      </c>
      <c r="D52" s="45"/>
      <c r="E52" s="45"/>
      <c r="F52" s="170" t="str">
        <f>IF(N17&gt;0,ROUND(N17,2),"")</f>
        <v/>
      </c>
      <c r="G52" s="45"/>
      <c r="H52" s="45"/>
    </row>
    <row r="53" spans="1:18" x14ac:dyDescent="0.25">
      <c r="A53" s="973"/>
      <c r="C53" s="221"/>
      <c r="D53" s="221"/>
      <c r="E53" s="221"/>
      <c r="F53" s="222"/>
      <c r="G53" s="221"/>
      <c r="H53" s="221"/>
    </row>
    <row r="54" spans="1:18" s="15" customFormat="1" ht="15.75" x14ac:dyDescent="0.25">
      <c r="A54" s="973"/>
      <c r="B54"/>
      <c r="C54" s="45" t="str">
        <f>IF(E18&gt;0,"Nebenkosten:","")</f>
        <v/>
      </c>
      <c r="D54" s="45"/>
      <c r="E54" s="45"/>
      <c r="F54" s="170" t="str">
        <f>IF(E18&gt;0,ROUND(E18,2),"")</f>
        <v/>
      </c>
      <c r="G54" s="45"/>
      <c r="H54" s="45"/>
      <c r="I54"/>
      <c r="J54" s="166"/>
      <c r="K54" s="167"/>
      <c r="L54" s="168"/>
      <c r="M54" s="168"/>
      <c r="N54" s="270"/>
      <c r="O54" s="270"/>
      <c r="P54" s="270"/>
      <c r="Q54" s="270"/>
      <c r="R54" s="270"/>
    </row>
    <row r="55" spans="1:18" ht="15.75" x14ac:dyDescent="0.25">
      <c r="A55" s="973"/>
      <c r="C55" s="445" t="s">
        <v>71</v>
      </c>
      <c r="D55" s="159"/>
      <c r="E55" s="159"/>
      <c r="F55" s="165"/>
      <c r="G55" s="967">
        <f>IF(F19=1,SUM(F49:F53),0)</f>
        <v>0</v>
      </c>
      <c r="H55" s="967"/>
    </row>
    <row r="56" spans="1:18" x14ac:dyDescent="0.25">
      <c r="A56" s="973"/>
      <c r="C56" s="135" t="str">
        <f>IF(O15&lt;&gt;0,"ohne Höhenschichtenlinien (-10%):","")</f>
        <v/>
      </c>
      <c r="D56" s="45"/>
      <c r="E56" s="154"/>
      <c r="F56" s="170" t="str">
        <f>IF(O15&lt;&gt;0,ROUND(O15,2),"")</f>
        <v/>
      </c>
      <c r="G56" s="45"/>
      <c r="H56" s="45"/>
    </row>
    <row r="57" spans="1:18" ht="15.75" x14ac:dyDescent="0.25">
      <c r="A57" s="973"/>
      <c r="B57" s="15"/>
      <c r="C57" s="47" t="str">
        <f>IF(O16&lt;&gt;0,"Höhenkoten nicht freistellen (-5%):","")</f>
        <v/>
      </c>
      <c r="D57" s="215"/>
      <c r="E57" s="176"/>
      <c r="F57" s="223" t="str">
        <f>IF(O16&lt;&gt;0,ROUND(O16,2),"")</f>
        <v/>
      </c>
      <c r="G57" s="215"/>
      <c r="H57" s="215"/>
      <c r="I57" s="15"/>
    </row>
    <row r="58" spans="1:18" x14ac:dyDescent="0.25">
      <c r="A58" s="973"/>
      <c r="C58" s="215"/>
      <c r="D58" s="215"/>
      <c r="E58" s="215"/>
      <c r="F58" s="215"/>
      <c r="G58" s="215"/>
      <c r="H58" s="215"/>
    </row>
    <row r="59" spans="1:18" ht="15.75" x14ac:dyDescent="0.25">
      <c r="A59" s="973"/>
      <c r="C59" s="15"/>
      <c r="D59" s="159"/>
      <c r="E59" s="159"/>
      <c r="F59" s="165"/>
      <c r="G59" s="966"/>
      <c r="H59" s="966"/>
    </row>
    <row r="60" spans="1:18" s="25" customFormat="1" ht="15.75" x14ac:dyDescent="0.25">
      <c r="A60" s="973"/>
      <c r="B60"/>
      <c r="C60" s="45"/>
      <c r="D60" s="45"/>
      <c r="E60" s="45"/>
      <c r="F60" s="154"/>
      <c r="G60" s="45"/>
      <c r="H60" s="45"/>
      <c r="I60"/>
      <c r="J60" s="31"/>
      <c r="K60" s="150"/>
      <c r="L60" s="151"/>
      <c r="M60" s="151"/>
      <c r="N60" s="271"/>
      <c r="O60" s="271"/>
      <c r="P60" s="271"/>
      <c r="Q60" s="271"/>
      <c r="R60" s="271"/>
    </row>
    <row r="61" spans="1:18" x14ac:dyDescent="0.25">
      <c r="A61" s="973"/>
      <c r="C61" s="45"/>
      <c r="D61" s="45"/>
      <c r="E61" s="160"/>
      <c r="F61" s="158"/>
      <c r="G61" s="155"/>
      <c r="H61" s="45"/>
    </row>
    <row r="62" spans="1:18" x14ac:dyDescent="0.25">
      <c r="A62" s="973"/>
      <c r="C62" s="45"/>
      <c r="D62" s="45"/>
      <c r="E62" s="45"/>
      <c r="F62" s="154"/>
      <c r="G62" s="155"/>
      <c r="H62" s="45"/>
    </row>
    <row r="63" spans="1:18" ht="15.75" x14ac:dyDescent="0.25">
      <c r="A63" s="973"/>
      <c r="B63" s="25"/>
      <c r="C63" s="45"/>
      <c r="D63" s="45"/>
      <c r="E63" s="45"/>
      <c r="F63" s="158"/>
      <c r="G63" s="155"/>
      <c r="H63" s="45"/>
      <c r="I63" s="25"/>
    </row>
    <row r="64" spans="1:18" x14ac:dyDescent="0.25">
      <c r="A64" s="973"/>
      <c r="C64" s="45"/>
      <c r="D64" s="45"/>
      <c r="E64" s="45"/>
      <c r="F64" s="45"/>
      <c r="G64" s="45"/>
      <c r="H64" s="45"/>
    </row>
    <row r="65" spans="1:8" x14ac:dyDescent="0.25">
      <c r="A65" s="973"/>
      <c r="C65" s="45"/>
      <c r="D65" s="45"/>
      <c r="E65" s="45"/>
      <c r="F65" s="45"/>
      <c r="G65" s="45"/>
      <c r="H65" s="45"/>
    </row>
    <row r="66" spans="1:8" x14ac:dyDescent="0.25">
      <c r="A66" s="973"/>
      <c r="C66" s="161"/>
      <c r="D66" s="161"/>
      <c r="E66" s="161"/>
      <c r="F66" s="161"/>
      <c r="G66" s="161"/>
      <c r="H66" s="162"/>
    </row>
    <row r="67" spans="1:8" x14ac:dyDescent="0.25">
      <c r="A67" s="973"/>
      <c r="C67" s="45"/>
      <c r="D67" s="45"/>
      <c r="E67" s="45"/>
      <c r="F67" s="45"/>
      <c r="G67" s="45"/>
      <c r="H67" s="45"/>
    </row>
    <row r="68" spans="1:8" x14ac:dyDescent="0.25">
      <c r="A68" s="973"/>
    </row>
  </sheetData>
  <mergeCells count="26">
    <mergeCell ref="G55:H55"/>
    <mergeCell ref="G59:H59"/>
    <mergeCell ref="D5:H5"/>
    <mergeCell ref="D9:D10"/>
    <mergeCell ref="A1:A20"/>
    <mergeCell ref="D2:H2"/>
    <mergeCell ref="D3:H3"/>
    <mergeCell ref="G19:H19"/>
    <mergeCell ref="A21:A68"/>
    <mergeCell ref="B22:I22"/>
    <mergeCell ref="B23:I23"/>
    <mergeCell ref="B24:I24"/>
    <mergeCell ref="B25:I25"/>
    <mergeCell ref="H9:H10"/>
    <mergeCell ref="C42:C43"/>
    <mergeCell ref="D42:D43"/>
    <mergeCell ref="C9:C10"/>
    <mergeCell ref="B27:I27"/>
    <mergeCell ref="E42:E43"/>
    <mergeCell ref="F42:F43"/>
    <mergeCell ref="G42:G43"/>
    <mergeCell ref="E9:E10"/>
    <mergeCell ref="F9:F10"/>
    <mergeCell ref="G9:G10"/>
    <mergeCell ref="F16:G16"/>
    <mergeCell ref="C33:H34"/>
  </mergeCells>
  <dataValidations count="1">
    <dataValidation type="list" allowBlank="1" showInputMessage="1" showErrorMessage="1" sqref="G11:G13">
      <formula1>$M$5:$M$6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Konstante!$P$113:$P$118</xm:f>
          </x14:formula1>
          <xm:sqref>D5</xm:sqref>
        </x14:dataValidation>
        <x14:dataValidation type="list" allowBlank="1" showInputMessage="1" showErrorMessage="1">
          <x14:formula1>
            <xm:f>Konstante!$M$113:$M$117</xm:f>
          </x14:formula1>
          <xm:sqref>E11:E13</xm:sqref>
        </x14:dataValidation>
        <x14:dataValidation type="list" allowBlank="1" showInputMessage="1" showErrorMessage="1">
          <x14:formula1>
            <xm:f>Konstante!$C$112:$C$120</xm:f>
          </x14:formula1>
          <xm:sqref>F11:F13</xm:sqref>
        </x14:dataValidation>
        <x14:dataValidation type="list" allowBlank="1" showInputMessage="1" showErrorMessage="1">
          <x14:formula1>
            <xm:f>Konstante!$J$112:$J$116</xm:f>
          </x14:formula1>
          <xm:sqref>D11:D13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S72"/>
  <sheetViews>
    <sheetView zoomScaleNormal="100" workbookViewId="0">
      <selection activeCell="E2" sqref="E2:H2"/>
    </sheetView>
  </sheetViews>
  <sheetFormatPr baseColWidth="10" defaultRowHeight="15" x14ac:dyDescent="0.25"/>
  <cols>
    <col min="1" max="1" width="4" customWidth="1"/>
    <col min="2" max="2" width="6.7109375" customWidth="1"/>
    <col min="3" max="5" width="12.7109375" customWidth="1"/>
    <col min="6" max="6" width="18.140625" customWidth="1"/>
    <col min="7" max="8" width="12.7109375" customWidth="1"/>
    <col min="9" max="9" width="2" customWidth="1"/>
    <col min="10" max="10" width="6.7109375" customWidth="1"/>
    <col min="11" max="11" width="7.140625" style="425" customWidth="1"/>
    <col min="12" max="12" width="16" customWidth="1"/>
    <col min="19" max="19" width="13.28515625" customWidth="1"/>
  </cols>
  <sheetData>
    <row r="1" spans="1:18" ht="17.25" customHeight="1" x14ac:dyDescent="0.25">
      <c r="A1" s="975" t="s">
        <v>35</v>
      </c>
      <c r="B1" s="16"/>
      <c r="C1" s="4"/>
      <c r="D1" s="4"/>
      <c r="E1" s="4"/>
      <c r="F1" s="4"/>
      <c r="G1" s="4"/>
      <c r="H1" s="4"/>
      <c r="I1" s="4"/>
    </row>
    <row r="2" spans="1:18" ht="17.25" customHeight="1" x14ac:dyDescent="0.25">
      <c r="A2" s="975"/>
      <c r="B2" s="16"/>
      <c r="C2" s="11" t="s">
        <v>38</v>
      </c>
      <c r="D2" s="4"/>
      <c r="E2" s="972"/>
      <c r="F2" s="972"/>
      <c r="G2" s="972"/>
      <c r="H2" s="972"/>
      <c r="I2" s="4"/>
      <c r="L2" s="960" t="s">
        <v>662</v>
      </c>
      <c r="M2" s="961"/>
      <c r="N2" s="961"/>
      <c r="O2" s="961"/>
      <c r="P2" s="962"/>
    </row>
    <row r="3" spans="1:18" ht="17.25" customHeight="1" x14ac:dyDescent="0.25">
      <c r="A3" s="975"/>
      <c r="B3" s="16"/>
      <c r="C3" s="4"/>
      <c r="D3" s="4"/>
      <c r="E3" s="4"/>
      <c r="F3" s="4"/>
      <c r="G3" s="4"/>
      <c r="H3" s="4"/>
      <c r="I3" s="4"/>
      <c r="L3" s="963"/>
      <c r="M3" s="964"/>
      <c r="N3" s="964"/>
      <c r="O3" s="964"/>
      <c r="P3" s="965"/>
    </row>
    <row r="4" spans="1:18" ht="17.25" customHeight="1" x14ac:dyDescent="0.25">
      <c r="A4" s="975"/>
      <c r="B4" s="16"/>
      <c r="C4" s="11" t="s">
        <v>37</v>
      </c>
      <c r="D4" s="10"/>
      <c r="E4" s="972"/>
      <c r="F4" s="972"/>
      <c r="G4" s="972"/>
      <c r="H4" s="972"/>
      <c r="I4" s="4"/>
      <c r="L4" s="658"/>
      <c r="M4" s="138"/>
      <c r="N4" s="142"/>
      <c r="O4" s="138"/>
      <c r="P4" s="425"/>
    </row>
    <row r="5" spans="1:18" ht="17.25" customHeight="1" x14ac:dyDescent="0.25">
      <c r="A5" s="975"/>
      <c r="B5" s="16"/>
      <c r="C5" s="11" t="s">
        <v>41</v>
      </c>
      <c r="D5" s="10"/>
      <c r="E5" s="972"/>
      <c r="F5" s="972"/>
      <c r="G5" s="972"/>
      <c r="H5" s="972"/>
      <c r="I5" s="4"/>
      <c r="L5" s="658" t="s">
        <v>639</v>
      </c>
      <c r="M5" s="138"/>
      <c r="N5" s="142"/>
      <c r="O5" s="138"/>
    </row>
    <row r="6" spans="1:18" ht="19.5" customHeight="1" x14ac:dyDescent="0.25">
      <c r="A6" s="975"/>
      <c r="B6" s="16"/>
      <c r="C6" s="11" t="s">
        <v>87</v>
      </c>
      <c r="D6" s="10"/>
      <c r="E6" s="972"/>
      <c r="F6" s="972"/>
      <c r="G6" s="972"/>
      <c r="H6" s="972"/>
      <c r="I6" s="4"/>
      <c r="L6" s="658" t="s">
        <v>640</v>
      </c>
      <c r="M6" s="142"/>
      <c r="N6" s="142"/>
      <c r="O6" s="142"/>
    </row>
    <row r="7" spans="1:18" ht="19.5" customHeight="1" x14ac:dyDescent="0.25">
      <c r="A7" s="975"/>
      <c r="B7" s="17"/>
      <c r="C7" s="11" t="s">
        <v>86</v>
      </c>
      <c r="D7" s="10"/>
      <c r="E7" s="972"/>
      <c r="F7" s="972"/>
      <c r="G7" s="972"/>
      <c r="H7" s="972"/>
      <c r="I7" s="4"/>
      <c r="L7" s="658"/>
      <c r="M7" s="142"/>
      <c r="N7" s="142"/>
      <c r="O7" s="142"/>
    </row>
    <row r="8" spans="1:18" s="2" customFormat="1" ht="20.100000000000001" customHeight="1" x14ac:dyDescent="0.25">
      <c r="A8" s="975"/>
      <c r="B8" s="17"/>
      <c r="C8" s="4"/>
      <c r="D8" s="4"/>
      <c r="E8" s="4"/>
      <c r="F8" s="4"/>
      <c r="G8" s="4"/>
      <c r="H8" s="4"/>
      <c r="I8" s="11"/>
      <c r="L8" s="658" t="s">
        <v>641</v>
      </c>
      <c r="M8" s="142"/>
      <c r="N8" s="142"/>
      <c r="O8" s="142"/>
    </row>
    <row r="9" spans="1:18" s="2" customFormat="1" ht="20.100000000000001" customHeight="1" x14ac:dyDescent="0.25">
      <c r="A9" s="975"/>
      <c r="B9" s="17"/>
      <c r="C9" s="11" t="s">
        <v>116</v>
      </c>
      <c r="D9" s="10"/>
      <c r="E9" s="972"/>
      <c r="F9" s="972"/>
      <c r="G9" s="972"/>
      <c r="H9" s="972"/>
      <c r="I9" s="11"/>
      <c r="L9" s="658" t="s">
        <v>651</v>
      </c>
      <c r="M9" s="142"/>
      <c r="N9" s="142"/>
      <c r="O9" s="142"/>
    </row>
    <row r="10" spans="1:18" s="2" customFormat="1" ht="20.100000000000001" customHeight="1" x14ac:dyDescent="0.25">
      <c r="A10" s="975"/>
      <c r="B10" s="17"/>
      <c r="C10" s="11" t="s">
        <v>39</v>
      </c>
      <c r="D10" s="4"/>
      <c r="E10" s="972"/>
      <c r="F10" s="972"/>
      <c r="G10" s="972"/>
      <c r="H10" s="972"/>
      <c r="I10" s="4"/>
      <c r="L10" s="142"/>
      <c r="M10" s="142"/>
      <c r="N10" s="142"/>
      <c r="O10" s="142"/>
    </row>
    <row r="11" spans="1:18" s="2" customFormat="1" ht="20.100000000000001" customHeight="1" x14ac:dyDescent="0.25">
      <c r="A11" s="975"/>
      <c r="B11" s="17"/>
      <c r="C11" s="11" t="s">
        <v>88</v>
      </c>
      <c r="D11" s="10"/>
      <c r="E11" s="972"/>
      <c r="F11" s="972"/>
      <c r="G11" s="972"/>
      <c r="H11" s="972"/>
      <c r="I11" s="4"/>
      <c r="L11" s="658" t="s">
        <v>642</v>
      </c>
      <c r="M11" s="142"/>
      <c r="N11" s="142"/>
      <c r="O11" s="142"/>
    </row>
    <row r="12" spans="1:18" s="2" customFormat="1" ht="20.100000000000001" customHeight="1" x14ac:dyDescent="0.25">
      <c r="A12" s="975"/>
      <c r="B12" s="17"/>
      <c r="C12" s="11" t="s">
        <v>86</v>
      </c>
      <c r="D12" s="10"/>
      <c r="E12" s="972"/>
      <c r="F12" s="972"/>
      <c r="G12" s="972"/>
      <c r="H12" s="972"/>
      <c r="I12" s="4"/>
      <c r="L12" s="658" t="s">
        <v>643</v>
      </c>
      <c r="M12" s="658"/>
      <c r="N12" s="142">
        <v>1</v>
      </c>
      <c r="O12" s="658"/>
    </row>
    <row r="13" spans="1:18" s="2" customFormat="1" ht="20.100000000000001" customHeight="1" x14ac:dyDescent="0.25">
      <c r="A13" s="975"/>
      <c r="B13" s="17"/>
      <c r="C13" s="11"/>
      <c r="D13" s="4"/>
      <c r="E13" s="13"/>
      <c r="F13" s="13"/>
      <c r="G13" s="13"/>
      <c r="H13" s="13"/>
      <c r="I13" s="4"/>
      <c r="L13" s="658" t="s">
        <v>644</v>
      </c>
      <c r="M13" s="659"/>
      <c r="N13" s="142">
        <v>0</v>
      </c>
      <c r="O13" s="659"/>
    </row>
    <row r="14" spans="1:18" s="2" customFormat="1" ht="20.100000000000001" customHeight="1" x14ac:dyDescent="0.25">
      <c r="A14" s="975"/>
      <c r="B14" s="17"/>
      <c r="C14" s="11" t="s">
        <v>40</v>
      </c>
      <c r="D14" s="4"/>
      <c r="E14" s="868">
        <v>79.08</v>
      </c>
      <c r="F14" s="13"/>
      <c r="G14" s="13"/>
      <c r="H14" s="13"/>
      <c r="I14" s="4"/>
      <c r="L14" s="658" t="s">
        <v>645</v>
      </c>
      <c r="M14" s="659"/>
      <c r="N14" s="658">
        <v>-1</v>
      </c>
      <c r="O14" s="659"/>
      <c r="P14" s="651"/>
      <c r="R14" s="651"/>
    </row>
    <row r="15" spans="1:18" s="2" customFormat="1" ht="20.100000000000001" customHeight="1" x14ac:dyDescent="0.25">
      <c r="A15" s="975"/>
      <c r="B15" s="18"/>
      <c r="C15" s="11"/>
      <c r="D15" s="4"/>
      <c r="E15" s="13"/>
      <c r="F15" s="13"/>
      <c r="G15" s="13"/>
      <c r="H15" s="13"/>
      <c r="I15" s="4"/>
      <c r="L15" s="658" t="s">
        <v>646</v>
      </c>
      <c r="M15" s="659"/>
      <c r="N15" s="658">
        <v>-2</v>
      </c>
      <c r="O15" s="659"/>
      <c r="P15" s="652"/>
      <c r="R15" s="652"/>
    </row>
    <row r="16" spans="1:18" s="2" customFormat="1" ht="20.100000000000001" customHeight="1" x14ac:dyDescent="0.2">
      <c r="A16" s="975"/>
      <c r="B16" s="18"/>
      <c r="C16" s="19" t="s">
        <v>89</v>
      </c>
      <c r="D16" s="19"/>
      <c r="E16" s="20"/>
      <c r="F16" s="19"/>
      <c r="G16" s="23"/>
      <c r="H16" s="23"/>
      <c r="I16" s="11"/>
      <c r="P16" s="652"/>
      <c r="R16" s="652"/>
    </row>
    <row r="17" spans="1:19" s="2" customFormat="1" ht="20.100000000000001" customHeight="1" x14ac:dyDescent="0.25">
      <c r="A17" s="975"/>
      <c r="B17" s="21"/>
      <c r="C17" s="695" t="str">
        <f>IF(AND(E16&lt;&gt;0,E16&lt;&gt;""),"Achtung: Vorzeichen beachten: Zuschlag: positiv; Abschlag: negativ","")</f>
        <v/>
      </c>
      <c r="D17" s="14"/>
      <c r="E17" s="14"/>
      <c r="F17" s="14"/>
      <c r="G17" s="14"/>
      <c r="H17" s="14"/>
      <c r="I17" s="11"/>
      <c r="P17" s="652"/>
      <c r="R17" s="652"/>
    </row>
    <row r="18" spans="1:19" ht="19.5" customHeight="1" thickBot="1" x14ac:dyDescent="0.3">
      <c r="A18" s="975"/>
      <c r="B18" s="18"/>
      <c r="C18" s="14" t="s">
        <v>655</v>
      </c>
      <c r="D18" s="14"/>
      <c r="E18" s="14" t="s">
        <v>656</v>
      </c>
      <c r="F18" s="14"/>
      <c r="G18" s="14" t="s">
        <v>657</v>
      </c>
      <c r="H18" s="14"/>
      <c r="I18" s="4"/>
      <c r="L18" s="652"/>
      <c r="M18" s="652"/>
      <c r="N18" s="652"/>
      <c r="O18" s="652"/>
      <c r="P18" s="652"/>
      <c r="R18" s="652"/>
    </row>
    <row r="19" spans="1:19" ht="19.5" customHeight="1" thickTop="1" thickBot="1" x14ac:dyDescent="0.3">
      <c r="A19" s="975"/>
      <c r="B19" s="16"/>
      <c r="C19" s="970" t="s">
        <v>639</v>
      </c>
      <c r="D19" s="971"/>
      <c r="E19" s="970" t="s">
        <v>651</v>
      </c>
      <c r="F19" s="971"/>
      <c r="G19" s="970" t="s">
        <v>643</v>
      </c>
      <c r="H19" s="971"/>
      <c r="I19" s="4"/>
    </row>
    <row r="20" spans="1:19" ht="19.5" customHeight="1" thickTop="1" x14ac:dyDescent="0.25">
      <c r="A20" s="975"/>
      <c r="B20" s="16"/>
      <c r="C20" s="4"/>
      <c r="D20" s="4"/>
      <c r="E20" s="4"/>
      <c r="F20" s="4"/>
      <c r="G20" s="4"/>
      <c r="H20" s="4"/>
      <c r="I20" s="4"/>
    </row>
    <row r="21" spans="1:19" ht="15" customHeight="1" x14ac:dyDescent="0.25">
      <c r="A21" s="973" t="s">
        <v>72</v>
      </c>
    </row>
    <row r="22" spans="1:19" ht="15" customHeight="1" x14ac:dyDescent="0.25">
      <c r="A22" s="973"/>
      <c r="B22" s="974" t="str">
        <f>CONCATENATE(C2, ": ", 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9" x14ac:dyDescent="0.25">
      <c r="A23" s="973"/>
      <c r="B23" s="969" t="str">
        <f>CONCATENATE(C4, ": ", E4, IF(E5&lt;&gt;""," - ",""), IF(E5&lt;&gt;"",E5,""), IF(E6&lt;&gt;""," - GZ. ",""), IF(E6&lt;&gt;"",E6,""),)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9" x14ac:dyDescent="0.25">
      <c r="A24" s="973"/>
      <c r="B24" s="969" t="str">
        <f>CONCATENATE(C9, ": ",E9,  IF(C10&lt;&gt;""," - ",""), IF(C10&lt;&gt;"",E10,""), IF(C11&lt;&gt;""," - GZ. ",""), IF(C11&lt;&gt;"",E11,""), )</f>
        <v xml:space="preserve">Bieter:  -  - GZ. </v>
      </c>
      <c r="C24" s="969"/>
      <c r="D24" s="969"/>
      <c r="E24" s="969"/>
      <c r="F24" s="969"/>
      <c r="G24" s="969"/>
      <c r="H24" s="969"/>
      <c r="I24" s="969"/>
      <c r="L24" s="137"/>
      <c r="M24" s="137"/>
      <c r="N24" s="138"/>
      <c r="O24" s="138"/>
      <c r="P24" s="138"/>
      <c r="Q24" s="138"/>
      <c r="R24" s="138"/>
      <c r="S24" s="657"/>
    </row>
    <row r="25" spans="1:19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  <c r="L25" s="137"/>
      <c r="M25" s="137"/>
      <c r="N25" s="656"/>
      <c r="O25" s="138"/>
      <c r="P25" s="138"/>
      <c r="Q25" s="138"/>
      <c r="R25" s="138"/>
      <c r="S25" s="657"/>
    </row>
    <row r="26" spans="1:19" x14ac:dyDescent="0.25">
      <c r="A26" s="973"/>
    </row>
    <row r="27" spans="1:19" s="12" customFormat="1" ht="23.25" customHeight="1" x14ac:dyDescent="0.25">
      <c r="A27" s="973"/>
      <c r="B27" s="968" t="s">
        <v>43</v>
      </c>
      <c r="C27" s="968"/>
      <c r="D27" s="968"/>
      <c r="E27" s="968"/>
      <c r="F27" s="968"/>
      <c r="G27" s="968"/>
      <c r="H27" s="968"/>
      <c r="I27" s="968"/>
      <c r="K27" s="562"/>
    </row>
    <row r="28" spans="1:19" ht="15.75" thickBot="1" x14ac:dyDescent="0.3">
      <c r="A28" s="973"/>
    </row>
    <row r="29" spans="1:19" s="425" customFormat="1" x14ac:dyDescent="0.25">
      <c r="A29" s="973"/>
      <c r="L29" s="739" t="s">
        <v>650</v>
      </c>
      <c r="M29" s="740" t="s">
        <v>648</v>
      </c>
      <c r="N29" s="741"/>
      <c r="O29" s="741" t="s">
        <v>653</v>
      </c>
      <c r="P29" s="741"/>
      <c r="Q29" s="741"/>
      <c r="R29" s="741"/>
      <c r="S29" s="742" t="s">
        <v>652</v>
      </c>
    </row>
    <row r="30" spans="1:19" x14ac:dyDescent="0.25">
      <c r="A30" s="973"/>
      <c r="B30" s="654" t="s">
        <v>661</v>
      </c>
      <c r="C30" s="108" t="s">
        <v>653</v>
      </c>
      <c r="D30" s="108"/>
      <c r="E30" s="108"/>
      <c r="F30" s="108"/>
      <c r="G30" s="654" t="s">
        <v>654</v>
      </c>
      <c r="H30" s="654" t="str">
        <f>IF(G$19&lt;&gt;L$11,"gerundet [€]","")</f>
        <v>gerundet [€]</v>
      </c>
      <c r="I30" s="654"/>
      <c r="L30" s="743" t="s">
        <v>649</v>
      </c>
      <c r="M30" s="737" t="s">
        <v>647</v>
      </c>
      <c r="N30" s="738"/>
      <c r="O30" s="738"/>
      <c r="P30" s="738"/>
      <c r="Q30" s="738"/>
      <c r="R30" s="738"/>
      <c r="S30" s="744"/>
    </row>
    <row r="31" spans="1:19" ht="14.25" customHeight="1" x14ac:dyDescent="0.25">
      <c r="A31" s="973"/>
      <c r="L31" s="745" t="s">
        <v>696</v>
      </c>
      <c r="M31" s="737"/>
      <c r="N31" s="738"/>
      <c r="O31" s="738"/>
      <c r="P31" s="738"/>
      <c r="Q31" s="738"/>
      <c r="R31" s="738"/>
      <c r="S31" s="744"/>
    </row>
    <row r="32" spans="1:19" ht="14.25" customHeight="1" x14ac:dyDescent="0.25">
      <c r="A32" s="973"/>
      <c r="B32" s="436" t="str">
        <f t="shared" ref="B32:B62" ca="1" si="0">IF(CELL("Zeile",B32)-CELL("Zeile",B$31)&lt;=maxzeile,CONCATENATE(VLOOKUP(CELL("Zeile",B32)-CELL("Zeile",B$31),M$32:S$56,2,FALSE),"  "),"")</f>
        <v/>
      </c>
      <c r="C32" s="426" t="str">
        <f t="shared" ref="C32:C62" ca="1" si="1">IF(CELL("Zeile",B32)-CELL("Zeile",B$31)&lt;=maxzeile,VLOOKUP(CELL("Zeile",B32)-CELL("Zeile",B$31),M$32:S$56,3,FALSE),"")</f>
        <v/>
      </c>
      <c r="D32" s="425"/>
      <c r="G32" s="653" t="str">
        <f t="shared" ref="G32:G62" ca="1" si="2">IF(CELL("Zeile",B32)-CELL("Zeile",B$31)&lt;=maxzeile,VLOOKUP(CELL("Zeile",B32)-CELL("Zeile",B$31),M$32:S$56,7,FALSE),"")</f>
        <v/>
      </c>
      <c r="H32" s="653" t="str">
        <f t="shared" ref="H32:H62" ca="1" si="3">IF(CELL("Zeile",B32)-CELL("Zeile",B$31)&lt;=maxzeile,IF(G$19&lt;&gt;L$11,ROUND(VLOOKUP(CELL("Zeile",B32)-CELL("Zeile",B$31),M$32:S$56,7,FALSE),VLOOKUP(G$19,L$12:N$15,3,FALSE)),""),"")</f>
        <v/>
      </c>
      <c r="K32"/>
      <c r="L32" s="743">
        <f>IF('3.1'!N$3&gt;0,1,0)</f>
        <v>0</v>
      </c>
      <c r="M32" s="737">
        <f t="shared" ref="M32" ca="1" si="4">IF(E$19=L$8,CELL("Zeile",L32)-CELL("Zeile",L$31),L32+INDIRECT("M"&amp;CELL("Zeile",L32)-1))</f>
        <v>0</v>
      </c>
      <c r="N32" s="738">
        <f ca="1">IF(C$19=L$5,M32,MID(INDIRECT("'3.1'!C$"&amp;'3.1'!N$1+2),12,SEARCH(",",INDIRECT("'3.1'!C$"&amp;'3.1'!N$1+2),12)-12))</f>
        <v>0</v>
      </c>
      <c r="O32" s="738" t="str">
        <f ca="1">INDIRECT("'3.1'!B$"&amp;'3.1'!N$1)</f>
        <v>KATASTERVERMESSUNG</v>
      </c>
      <c r="P32" s="738"/>
      <c r="Q32" s="738"/>
      <c r="R32" s="738"/>
      <c r="S32" s="746">
        <f ca="1">INDIRECT("'3.1'!G$"&amp;'3.1'!N$2)</f>
        <v>0</v>
      </c>
    </row>
    <row r="33" spans="1:19" ht="14.25" customHeight="1" x14ac:dyDescent="0.25">
      <c r="A33" s="973"/>
      <c r="B33" s="436" t="str">
        <f t="shared" ca="1" si="0"/>
        <v/>
      </c>
      <c r="C33" s="426" t="str">
        <f t="shared" ca="1" si="1"/>
        <v/>
      </c>
      <c r="D33" s="425"/>
      <c r="E33" s="425"/>
      <c r="F33" s="425"/>
      <c r="G33" s="653" t="str">
        <f t="shared" ca="1" si="2"/>
        <v/>
      </c>
      <c r="H33" s="653" t="str">
        <f t="shared" ca="1" si="3"/>
        <v/>
      </c>
      <c r="L33" s="743">
        <f>IF('4.1.x'!N$3&gt;0,1,0)</f>
        <v>0</v>
      </c>
      <c r="M33" s="737">
        <f t="shared" ref="M33:M37" ca="1" si="5">IF(E$19=L$8,CELL("Zeile",L33)-CELL("Zeile",L$31),L33+INDIRECT("M"&amp;CELL("Zeile",L33)-1))</f>
        <v>0</v>
      </c>
      <c r="N33" s="738">
        <f ca="1">IF(C$19=L$5,M33,MID(INDIRECT("'4.1.x'!C$"&amp;'4.1.x'!N$1+2),12,SEARCH(",",INDIRECT("'4.1.x'!C$"&amp;'4.1.x'!N$1+2),12)-12))</f>
        <v>0</v>
      </c>
      <c r="O33" s="738" t="str">
        <f ca="1">INDIRECT("'4.1.x'!B$"&amp;'4.1.x'!N$1)</f>
        <v>NETZMESSUNG - GNSS</v>
      </c>
      <c r="P33" s="738"/>
      <c r="Q33" s="738"/>
      <c r="R33" s="738"/>
      <c r="S33" s="746">
        <f ca="1">INDIRECT("'4.1.x'!G$"&amp;'4.1.x'!N$2)</f>
        <v>0</v>
      </c>
    </row>
    <row r="34" spans="1:19" ht="14.25" customHeight="1" x14ac:dyDescent="0.25">
      <c r="A34" s="973"/>
      <c r="B34" s="436" t="str">
        <f t="shared" ca="1" si="0"/>
        <v/>
      </c>
      <c r="C34" s="426" t="str">
        <f t="shared" ca="1" si="1"/>
        <v/>
      </c>
      <c r="D34" s="425"/>
      <c r="E34" s="425"/>
      <c r="F34" s="425"/>
      <c r="G34" s="653" t="str">
        <f t="shared" ca="1" si="2"/>
        <v/>
      </c>
      <c r="H34" s="653" t="str">
        <f t="shared" ca="1" si="3"/>
        <v/>
      </c>
      <c r="L34" s="743">
        <f>IF('4.1.3'!N$3&gt;0,1,0)</f>
        <v>0</v>
      </c>
      <c r="M34" s="737">
        <f t="shared" ca="1" si="5"/>
        <v>0</v>
      </c>
      <c r="N34" s="738">
        <f ca="1">IF(C$19=L$5,M34,MID(INDIRECT("'4.1.3'!C$"&amp;'4.1.3'!N$1+2),12,SEARCH(",",INDIRECT("'4.1.3'!C$"&amp;'4.1.3'!N$1+2),12)-12))</f>
        <v>0</v>
      </c>
      <c r="O34" s="738" t="str">
        <f ca="1">INDIRECT("'4.1.3'!B$"&amp;'4.1.3'!N$1)</f>
        <v>POLYGONZUG</v>
      </c>
      <c r="P34" s="738"/>
      <c r="Q34" s="738"/>
      <c r="R34" s="738"/>
      <c r="S34" s="746">
        <f ca="1">INDIRECT("'4.1.3'!G$"&amp;'4.1.3'!N$2)</f>
        <v>0</v>
      </c>
    </row>
    <row r="35" spans="1:19" ht="14.25" customHeight="1" x14ac:dyDescent="0.25">
      <c r="A35" s="973"/>
      <c r="B35" s="436" t="str">
        <f t="shared" ca="1" si="0"/>
        <v/>
      </c>
      <c r="C35" s="426" t="str">
        <f t="shared" ca="1" si="1"/>
        <v/>
      </c>
      <c r="D35" s="425"/>
      <c r="E35" s="425"/>
      <c r="F35" s="425"/>
      <c r="G35" s="653" t="str">
        <f t="shared" ca="1" si="2"/>
        <v/>
      </c>
      <c r="H35" s="653" t="str">
        <f t="shared" ca="1" si="3"/>
        <v/>
      </c>
      <c r="L35" s="743">
        <f>IF('4.2'!N$3&gt;0,1,0)</f>
        <v>0</v>
      </c>
      <c r="M35" s="737">
        <f t="shared" ca="1" si="5"/>
        <v>0</v>
      </c>
      <c r="N35" s="738">
        <f ca="1">IF(C$19=L$5,M35,MID(INDIRECT("'4.2'!C$"&amp;'4.2'!N$1+2),12,SEARCH(",",INDIRECT("'4.2'!C$"&amp;'4.2'!N$1+2),12)-12))</f>
        <v>0</v>
      </c>
      <c r="O35" s="738" t="str">
        <f ca="1">INDIRECT("'4.2'!B$"&amp;'4.2'!N$1)</f>
        <v>EINZELPUNKTEINSCHALTUNG</v>
      </c>
      <c r="P35" s="738"/>
      <c r="Q35" s="738"/>
      <c r="R35" s="738"/>
      <c r="S35" s="746">
        <f ca="1">INDIRECT("'4.2'!G$"&amp;'4.2'!N$2)</f>
        <v>0</v>
      </c>
    </row>
    <row r="36" spans="1:19" ht="14.25" customHeight="1" x14ac:dyDescent="0.25">
      <c r="A36" s="973"/>
      <c r="B36" s="436" t="str">
        <f t="shared" ca="1" si="0"/>
        <v/>
      </c>
      <c r="C36" s="426" t="str">
        <f t="shared" ca="1" si="1"/>
        <v/>
      </c>
      <c r="D36" s="425"/>
      <c r="E36" s="425"/>
      <c r="F36" s="425"/>
      <c r="G36" s="653" t="str">
        <f t="shared" ca="1" si="2"/>
        <v/>
      </c>
      <c r="H36" s="653" t="str">
        <f t="shared" ca="1" si="3"/>
        <v/>
      </c>
      <c r="L36" s="743">
        <f>IF('4.3'!N$3&gt;0,1,0)</f>
        <v>0</v>
      </c>
      <c r="M36" s="737">
        <f t="shared" ca="1" si="5"/>
        <v>0</v>
      </c>
      <c r="N36" s="738">
        <f ca="1">IF(C$19=L$5,M36,MID(INDIRECT("'4.3'!C$"&amp;'4.3'!N$1+2),12,SEARCH(",",INDIRECT("'4.3'!C$"&amp;'4.3'!N$1+2),12)-12))</f>
        <v>0</v>
      </c>
      <c r="O36" s="738" t="str">
        <f ca="1">INDIRECT("'4.3'!B$"&amp;'4.3'!N$1)</f>
        <v>KREISEL-STÜTZ-AZIMUT</v>
      </c>
      <c r="P36" s="738"/>
      <c r="Q36" s="738"/>
      <c r="R36" s="738"/>
      <c r="S36" s="746">
        <f ca="1">INDIRECT("'4.3'!G$"&amp;'4.3'!N$2)</f>
        <v>0</v>
      </c>
    </row>
    <row r="37" spans="1:19" ht="14.25" customHeight="1" x14ac:dyDescent="0.25">
      <c r="A37" s="973"/>
      <c r="B37" s="436" t="str">
        <f t="shared" ca="1" si="0"/>
        <v/>
      </c>
      <c r="C37" s="426" t="str">
        <f t="shared" ca="1" si="1"/>
        <v/>
      </c>
      <c r="D37" s="425"/>
      <c r="E37" s="425"/>
      <c r="F37" s="425"/>
      <c r="G37" s="653" t="str">
        <f t="shared" ca="1" si="2"/>
        <v/>
      </c>
      <c r="H37" s="653" t="str">
        <f t="shared" ca="1" si="3"/>
        <v/>
      </c>
      <c r="L37" s="743">
        <f>IF('4.4.2'!N$3&gt;0,1,0)</f>
        <v>0</v>
      </c>
      <c r="M37" s="737">
        <f t="shared" ca="1" si="5"/>
        <v>0</v>
      </c>
      <c r="N37" s="738">
        <f ca="1">IF(C$19=L$5,M37,MID(INDIRECT("'4.4.2'!C$"&amp;'4.4.2'!N$1+2),12,SEARCH(",",INDIRECT("'4.4.2'!C$"&amp;'4.4.2'!N$1+2),12)-12))</f>
        <v>0</v>
      </c>
      <c r="O37" s="738" t="str">
        <f ca="1">INDIRECT("'4.4.2'!B$"&amp;'4.4.2'!N$1)</f>
        <v>SETZUNGSMESSUNG - Nullmessung</v>
      </c>
      <c r="P37" s="738"/>
      <c r="Q37" s="738"/>
      <c r="R37" s="738"/>
      <c r="S37" s="746">
        <f ca="1">INDIRECT("'4.4.2'!G$"&amp;'4.4.2'!N$2)</f>
        <v>0</v>
      </c>
    </row>
    <row r="38" spans="1:19" ht="14.25" customHeight="1" x14ac:dyDescent="0.25">
      <c r="A38" s="973"/>
      <c r="B38" s="436" t="str">
        <f t="shared" ca="1" si="0"/>
        <v/>
      </c>
      <c r="C38" s="426" t="str">
        <f t="shared" ca="1" si="1"/>
        <v/>
      </c>
      <c r="D38" s="425"/>
      <c r="E38" s="425"/>
      <c r="F38" s="425"/>
      <c r="G38" s="653" t="str">
        <f t="shared" ca="1" si="2"/>
        <v/>
      </c>
      <c r="H38" s="653" t="str">
        <f t="shared" ca="1" si="3"/>
        <v/>
      </c>
      <c r="L38" s="743">
        <f>IF('4.4.x'!N$3&gt;0,1,0)</f>
        <v>0</v>
      </c>
      <c r="M38" s="737">
        <f t="shared" ref="M38:M56" ca="1" si="6">IF(E$19=L$8,CELL("Zeile",L38)-CELL("Zeile",L$31),L38+INDIRECT("M"&amp;CELL("Zeile",L38)-1))</f>
        <v>0</v>
      </c>
      <c r="N38" s="738">
        <f ca="1">IF(C$19=L$5,M38,MID(INDIRECT("'4.4.x'!C$"&amp;'4.4.x'!N$1+2),12,SEARCH(",",INDIRECT("'4.4.x'!C$"&amp;'4.4.x'!N$1+2),12)-12))</f>
        <v>0</v>
      </c>
      <c r="O38" s="738" t="str">
        <f ca="1">INDIRECT("'4.4.x'!B$"&amp;'4.4.x'!N$1)</f>
        <v>DETAILPUNKTE</v>
      </c>
      <c r="P38" s="738"/>
      <c r="Q38" s="738"/>
      <c r="R38" s="738"/>
      <c r="S38" s="746">
        <f ca="1">INDIRECT("'4.4.x'!G$"&amp;'4.4.x'!N$2)</f>
        <v>0</v>
      </c>
    </row>
    <row r="39" spans="1:19" ht="14.25" customHeight="1" x14ac:dyDescent="0.25">
      <c r="A39" s="973"/>
      <c r="B39" s="436" t="str">
        <f t="shared" ca="1" si="0"/>
        <v/>
      </c>
      <c r="C39" s="426" t="str">
        <f t="shared" ca="1" si="1"/>
        <v/>
      </c>
      <c r="D39" s="425"/>
      <c r="E39" s="425"/>
      <c r="F39" s="425"/>
      <c r="G39" s="653" t="str">
        <f t="shared" ca="1" si="2"/>
        <v/>
      </c>
      <c r="H39" s="653" t="str">
        <f t="shared" ca="1" si="3"/>
        <v/>
      </c>
      <c r="L39" s="743">
        <f>IF('4.5'!N$3&gt;0,1,0)</f>
        <v>0</v>
      </c>
      <c r="M39" s="737">
        <f t="shared" ca="1" si="6"/>
        <v>0</v>
      </c>
      <c r="N39" s="738">
        <f ca="1">IF(C$19=L$5,M39,MID(INDIRECT("'4.5'!C$"&amp;'4.5'!N$1+2),12,SEARCH(",",INDIRECT("'4.5'!C$"&amp;'4.5'!N$1+2),12)-12))</f>
        <v>0</v>
      </c>
      <c r="O39" s="738" t="str">
        <f ca="1">INDIRECT("'4.5'!B$"&amp;'4.5'!N$1)</f>
        <v>PUNKTBESTIMMUNG DURCH KINEMATISCHE GNSS-MESSUNG</v>
      </c>
      <c r="P39" s="738"/>
      <c r="Q39" s="738"/>
      <c r="R39" s="738"/>
      <c r="S39" s="746">
        <f ca="1">INDIRECT("'4.5'!G$"&amp;'4.5'!N$2)</f>
        <v>0</v>
      </c>
    </row>
    <row r="40" spans="1:19" ht="14.25" customHeight="1" x14ac:dyDescent="0.25">
      <c r="A40" s="973"/>
      <c r="B40" s="436" t="str">
        <f t="shared" ca="1" si="0"/>
        <v/>
      </c>
      <c r="C40" s="426" t="str">
        <f t="shared" ca="1" si="1"/>
        <v/>
      </c>
      <c r="D40" s="425"/>
      <c r="E40" s="425"/>
      <c r="F40" s="425"/>
      <c r="G40" s="653" t="str">
        <f t="shared" ca="1" si="2"/>
        <v/>
      </c>
      <c r="H40" s="653" t="str">
        <f t="shared" ca="1" si="3"/>
        <v/>
      </c>
      <c r="L40" s="743">
        <f>IF('4.6'!N$3&gt;0,1,0)</f>
        <v>0</v>
      </c>
      <c r="M40" s="737">
        <f t="shared" ca="1" si="6"/>
        <v>0</v>
      </c>
      <c r="N40" s="738">
        <f ca="1">IF(C$19=L$5,M40,MID(INDIRECT("'4.6'!C$"&amp;'4.6'!N$1+2),12,SEARCH(",",INDIRECT("'4.6'!C$"&amp;'4.6'!N$1+2),12)-12))</f>
        <v>0</v>
      </c>
      <c r="O40" s="738" t="str">
        <f ca="1">INDIRECT("'4.6'!B$"&amp;'4.6'!N$1)</f>
        <v>NIVELLEMENT</v>
      </c>
      <c r="P40" s="738"/>
      <c r="Q40" s="738"/>
      <c r="R40" s="738"/>
      <c r="S40" s="746">
        <f ca="1">INDIRECT("'4.6'!G$"&amp;'4.6'!N$2)</f>
        <v>0</v>
      </c>
    </row>
    <row r="41" spans="1:19" ht="14.25" customHeight="1" x14ac:dyDescent="0.25">
      <c r="A41" s="973"/>
      <c r="B41" s="436" t="str">
        <f t="shared" ca="1" si="0"/>
        <v/>
      </c>
      <c r="C41" s="426" t="str">
        <f t="shared" ca="1" si="1"/>
        <v/>
      </c>
      <c r="D41" s="425"/>
      <c r="E41" s="425"/>
      <c r="F41" s="425"/>
      <c r="G41" s="653" t="str">
        <f t="shared" ca="1" si="2"/>
        <v/>
      </c>
      <c r="H41" s="653" t="str">
        <f t="shared" ca="1" si="3"/>
        <v/>
      </c>
      <c r="L41" s="743">
        <f>IF('4.7.1'!N$3&gt;0,1,0)</f>
        <v>0</v>
      </c>
      <c r="M41" s="737">
        <f t="shared" ca="1" si="6"/>
        <v>0</v>
      </c>
      <c r="N41" s="738">
        <f ca="1">IF(C$19=L$5,M41,MID(INDIRECT("'4.7.1'!C$"&amp;'4.7.1'!N$1+2),12,SEARCH(",",INDIRECT("'4.7.1'!C$"&amp;'4.7.1'!N$1+2),12)-12))</f>
        <v>0</v>
      </c>
      <c r="O41" s="738" t="str">
        <f ca="1">INDIRECT("'4.7.1'!B$"&amp;'4.7.1'!N$1)</f>
        <v>LAGE- und HÖHENPLAN</v>
      </c>
      <c r="P41" s="738"/>
      <c r="Q41" s="738"/>
      <c r="R41" s="738"/>
      <c r="S41" s="746">
        <f ca="1">INDIRECT("'4.7.1'!G$"&amp;'4.7.1'!N$2)</f>
        <v>0</v>
      </c>
    </row>
    <row r="42" spans="1:19" ht="14.25" customHeight="1" x14ac:dyDescent="0.25">
      <c r="A42" s="973"/>
      <c r="B42" s="436" t="str">
        <f t="shared" ca="1" si="0"/>
        <v/>
      </c>
      <c r="C42" s="426" t="str">
        <f t="shared" ca="1" si="1"/>
        <v/>
      </c>
      <c r="D42" s="425"/>
      <c r="E42" s="425"/>
      <c r="F42" s="425"/>
      <c r="G42" s="653" t="str">
        <f t="shared" ca="1" si="2"/>
        <v/>
      </c>
      <c r="H42" s="653" t="str">
        <f t="shared" ca="1" si="3"/>
        <v/>
      </c>
      <c r="L42" s="743">
        <f>IF('4.7.2'!N$3&gt;0,1,0)</f>
        <v>0</v>
      </c>
      <c r="M42" s="737">
        <f t="shared" ca="1" si="6"/>
        <v>0</v>
      </c>
      <c r="N42" s="738">
        <f ca="1">IF(C$19=L$5,M42,MID(INDIRECT("'4.7.2'!C$"&amp;'4.7.2'!N$1+2),12,SEARCH(",",INDIRECT("'4.7.2'!C$"&amp;'4.7.2'!N$1+2),12)-12))</f>
        <v>0</v>
      </c>
      <c r="O42" s="738" t="str">
        <f ca="1">INDIRECT("'4.7.2'!B$"&amp;'4.7.2'!N$1)</f>
        <v>3d-PLANERSTELLUNG auf Basis eines 2,5d-LH-Planes</v>
      </c>
      <c r="P42" s="738"/>
      <c r="Q42" s="738"/>
      <c r="R42" s="738"/>
      <c r="S42" s="746">
        <f ca="1">INDIRECT("'4.7.2'!G$"&amp;'4.7.2'!N$2)</f>
        <v>0</v>
      </c>
    </row>
    <row r="43" spans="1:19" ht="14.25" customHeight="1" x14ac:dyDescent="0.25">
      <c r="A43" s="973"/>
      <c r="B43" s="436" t="str">
        <f t="shared" ca="1" si="0"/>
        <v/>
      </c>
      <c r="C43" s="426" t="str">
        <f t="shared" ca="1" si="1"/>
        <v/>
      </c>
      <c r="D43" s="425"/>
      <c r="E43" s="425"/>
      <c r="F43" s="425"/>
      <c r="G43" s="653" t="str">
        <f t="shared" ca="1" si="2"/>
        <v/>
      </c>
      <c r="H43" s="653" t="str">
        <f t="shared" ca="1" si="3"/>
        <v/>
      </c>
      <c r="L43" s="743">
        <f>IF('4.7.3'!N$3&gt;0,1,0)</f>
        <v>0</v>
      </c>
      <c r="M43" s="737">
        <f t="shared" ca="1" si="6"/>
        <v>0</v>
      </c>
      <c r="N43" s="738">
        <f ca="1">IF(C$19=L$5,M43,MID(INDIRECT("'4.7.3'!C$"&amp;'4.7.3'!N$1+2),12,SEARCH(",",INDIRECT("'4.7.3'!C$"&amp;'4.7.3'!N$1+2),12)-12))</f>
        <v>0</v>
      </c>
      <c r="O43" s="738" t="str">
        <f ca="1">INDIRECT("'4.7.3'!B$"&amp;'4.7.3'!N$1)</f>
        <v>UMBILDUNG EINER GELÄNDEAUFNAHME (Maßstabsänderung)</v>
      </c>
      <c r="P43" s="738"/>
      <c r="Q43" s="738"/>
      <c r="R43" s="738"/>
      <c r="S43" s="746">
        <f ca="1">INDIRECT("'4.7.3'!G$"&amp;'4.7.3'!N$2)</f>
        <v>0</v>
      </c>
    </row>
    <row r="44" spans="1:19" ht="14.25" customHeight="1" x14ac:dyDescent="0.25">
      <c r="A44" s="973"/>
      <c r="B44" s="436" t="str">
        <f t="shared" ca="1" si="0"/>
        <v/>
      </c>
      <c r="C44" s="426" t="str">
        <f t="shared" ca="1" si="1"/>
        <v/>
      </c>
      <c r="D44" s="425"/>
      <c r="E44" s="425"/>
      <c r="F44" s="425"/>
      <c r="G44" s="653" t="str">
        <f t="shared" ca="1" si="2"/>
        <v/>
      </c>
      <c r="H44" s="653" t="str">
        <f t="shared" ca="1" si="3"/>
        <v/>
      </c>
      <c r="L44" s="743">
        <f>IF('4.7.4'!N$3&gt;0,1,0)</f>
        <v>0</v>
      </c>
      <c r="M44" s="737">
        <f t="shared" ca="1" si="6"/>
        <v>0</v>
      </c>
      <c r="N44" s="738">
        <f ca="1">IF(C$19=L$5,M44,MID(INDIRECT("'4.7.4'!C$"&amp;'4.7.4'!N$1+2),12,SEARCH(",",INDIRECT("'4.7.4'!C$"&amp;'4.7.4'!N$1+2),12)-12))</f>
        <v>0</v>
      </c>
      <c r="O44" s="738" t="str">
        <f ca="1">INDIRECT("'4.7.4'!B$"&amp;'4.7.4'!N$1)</f>
        <v>UMBILDUNG EINER GELÄNDEAUFNAHME (analog auf digital)</v>
      </c>
      <c r="P44" s="738"/>
      <c r="Q44" s="738"/>
      <c r="R44" s="738"/>
      <c r="S44" s="746">
        <f ca="1">INDIRECT("'4.7.4'!G$"&amp;'4.7.4'!N$2)</f>
        <v>0</v>
      </c>
    </row>
    <row r="45" spans="1:19" ht="14.25" customHeight="1" x14ac:dyDescent="0.25">
      <c r="A45" s="973"/>
      <c r="B45" s="436" t="str">
        <f t="shared" ca="1" si="0"/>
        <v/>
      </c>
      <c r="C45" s="426" t="str">
        <f t="shared" ca="1" si="1"/>
        <v/>
      </c>
      <c r="D45" s="425"/>
      <c r="E45" s="425"/>
      <c r="F45" s="425"/>
      <c r="G45" s="653" t="str">
        <f t="shared" ca="1" si="2"/>
        <v/>
      </c>
      <c r="H45" s="653" t="str">
        <f t="shared" ca="1" si="3"/>
        <v/>
      </c>
      <c r="L45" s="743">
        <f>IF('4.8'!N$3&gt;0,1,0)</f>
        <v>0</v>
      </c>
      <c r="M45" s="737">
        <f t="shared" ca="1" si="6"/>
        <v>0</v>
      </c>
      <c r="N45" s="738">
        <f ca="1">IF(C$19=L$5,M45,MID(INDIRECT("'4.8'!C$"&amp;'4.8'!N$1+2),12,SEARCH(",",INDIRECT("'4.8'!C$"&amp;'4.8'!N$1+2),12)-12))</f>
        <v>0</v>
      </c>
      <c r="O45" s="738" t="str">
        <f ca="1">INDIRECT("'4.8'!B$"&amp;'4.8'!N$1)</f>
        <v>NUTZFLÄCHENERMITTLUNG</v>
      </c>
      <c r="P45" s="738"/>
      <c r="Q45" s="738"/>
      <c r="R45" s="738"/>
      <c r="S45" s="746">
        <f ca="1">INDIRECT("'4.8'!G$"&amp;'4.8'!N$2)</f>
        <v>0</v>
      </c>
    </row>
    <row r="46" spans="1:19" ht="14.25" customHeight="1" x14ac:dyDescent="0.25">
      <c r="A46" s="973"/>
      <c r="B46" s="436" t="str">
        <f t="shared" ca="1" si="0"/>
        <v/>
      </c>
      <c r="C46" s="426" t="str">
        <f t="shared" ca="1" si="1"/>
        <v/>
      </c>
      <c r="D46" s="425"/>
      <c r="E46" s="425"/>
      <c r="F46" s="425"/>
      <c r="G46" s="653" t="str">
        <f t="shared" ca="1" si="2"/>
        <v/>
      </c>
      <c r="H46" s="653" t="str">
        <f t="shared" ca="1" si="3"/>
        <v/>
      </c>
      <c r="L46" s="743">
        <f>IF('4.9'!N$3&gt;0,1,0)</f>
        <v>0</v>
      </c>
      <c r="M46" s="737">
        <f t="shared" ca="1" si="6"/>
        <v>0</v>
      </c>
      <c r="N46" s="738">
        <f ca="1">IF(C$19=L$5,M46,MID(INDIRECT("'4.9'!C$"&amp;'4.9'!N$1+2),12,SEARCH(",",INDIRECT("'4.9'!C$"&amp;'4.9'!N$1+2),12)-12))</f>
        <v>0</v>
      </c>
      <c r="O46" s="738" t="str">
        <f ca="1">INDIRECT("'4.9'!B$"&amp;'4.9'!N$1)</f>
        <v>HERSTELLUNG VON BAUBESTANDSPLÄNEN</v>
      </c>
      <c r="P46" s="738"/>
      <c r="Q46" s="738"/>
      <c r="R46" s="738"/>
      <c r="S46" s="746">
        <f ca="1">INDIRECT("'4.9'!G$"&amp;'4.9'!N$2)</f>
        <v>0</v>
      </c>
    </row>
    <row r="47" spans="1:19" ht="14.25" customHeight="1" x14ac:dyDescent="0.25">
      <c r="A47" s="973"/>
      <c r="B47" s="436" t="str">
        <f t="shared" ca="1" si="0"/>
        <v/>
      </c>
      <c r="C47" s="426" t="str">
        <f t="shared" ca="1" si="1"/>
        <v/>
      </c>
      <c r="D47" s="425"/>
      <c r="E47" s="425"/>
      <c r="F47" s="425"/>
      <c r="G47" s="653" t="str">
        <f t="shared" ca="1" si="2"/>
        <v/>
      </c>
      <c r="H47" s="653" t="str">
        <f t="shared" ca="1" si="3"/>
        <v/>
      </c>
      <c r="L47" s="743">
        <f>IF('4.10'!N$3&gt;0,1,0)</f>
        <v>0</v>
      </c>
      <c r="M47" s="737">
        <f t="shared" ca="1" si="6"/>
        <v>0</v>
      </c>
      <c r="N47" s="738">
        <f ca="1">IF(C$19=L$5,M47,MID(INDIRECT("'4.10'!C$"&amp;'4.10'!N$1+2),12,SEARCH(",",INDIRECT("'4.10'!C$"&amp;'4.10'!N$1+2),12)-12))</f>
        <v>0</v>
      </c>
      <c r="O47" s="738" t="str">
        <f ca="1">INDIRECT("'4.10'!B$"&amp;'4.10'!N$1)</f>
        <v>PROFILE</v>
      </c>
      <c r="P47" s="738"/>
      <c r="Q47" s="738"/>
      <c r="R47" s="738"/>
      <c r="S47" s="746">
        <f ca="1">INDIRECT("'4.10'!G$"&amp;'4.10'!N$2)</f>
        <v>0</v>
      </c>
    </row>
    <row r="48" spans="1:19" ht="14.25" customHeight="1" x14ac:dyDescent="0.25">
      <c r="A48" s="973"/>
      <c r="B48" s="436" t="str">
        <f t="shared" ca="1" si="0"/>
        <v/>
      </c>
      <c r="C48" s="426" t="str">
        <f t="shared" ca="1" si="1"/>
        <v/>
      </c>
      <c r="D48" s="425"/>
      <c r="E48" s="425"/>
      <c r="F48" s="425"/>
      <c r="G48" s="653" t="str">
        <f t="shared" ca="1" si="2"/>
        <v/>
      </c>
      <c r="H48" s="653" t="str">
        <f t="shared" ca="1" si="3"/>
        <v/>
      </c>
      <c r="L48" s="743">
        <f>IF('4.11'!N$3&gt;0,1,0)</f>
        <v>0</v>
      </c>
      <c r="M48" s="737">
        <f t="shared" ca="1" si="6"/>
        <v>0</v>
      </c>
      <c r="N48" s="738">
        <f ca="1">IF(C$19=L$5,M48,MID(INDIRECT("'4.11'!C$"&amp;'4.11'!N$1+2),12,SEARCH(",",INDIRECT("'4.11'!C$"&amp;'4.11'!N$1+2),12)-12))</f>
        <v>0</v>
      </c>
      <c r="O48" s="738" t="str">
        <f ca="1">INDIRECT("'4.11'!B$"&amp;'4.11'!N$1)</f>
        <v>ABSTECKUNGEN</v>
      </c>
      <c r="P48" s="738"/>
      <c r="Q48" s="738"/>
      <c r="R48" s="738"/>
      <c r="S48" s="746">
        <f ca="1">INDIRECT("'4.11'!G$"&amp;'4.11'!N$2)</f>
        <v>0</v>
      </c>
    </row>
    <row r="49" spans="1:19" ht="14.25" customHeight="1" x14ac:dyDescent="0.25">
      <c r="A49" s="973"/>
      <c r="B49" s="436" t="str">
        <f t="shared" ca="1" si="0"/>
        <v/>
      </c>
      <c r="C49" s="426" t="str">
        <f t="shared" ca="1" si="1"/>
        <v/>
      </c>
      <c r="D49" s="425"/>
      <c r="E49" s="425"/>
      <c r="F49" s="425"/>
      <c r="G49" s="653" t="str">
        <f t="shared" ca="1" si="2"/>
        <v/>
      </c>
      <c r="H49" s="653" t="str">
        <f t="shared" ca="1" si="3"/>
        <v/>
      </c>
      <c r="L49" s="743">
        <f>IF('4.12'!N$3&gt;0,1,0)</f>
        <v>0</v>
      </c>
      <c r="M49" s="737">
        <f t="shared" ca="1" si="6"/>
        <v>0</v>
      </c>
      <c r="N49" s="738">
        <f ca="1">IF(C$19=L$5,M49,MID(INDIRECT("'4.12'!C$"&amp;'4.12'!N$1+2),12,SEARCH(",",INDIRECT("'4.12'!C$"&amp;'4.12'!N$1+2),12)-12))</f>
        <v>0</v>
      </c>
      <c r="O49" s="738" t="str">
        <f ca="1">INDIRECT("'4.12'!B$"&amp;'4.12'!N$1)</f>
        <v>ACHSEINRECHNUNG und Berechnung von Achszwischenpunkten</v>
      </c>
      <c r="P49" s="738"/>
      <c r="Q49" s="738"/>
      <c r="R49" s="738"/>
      <c r="S49" s="746">
        <f ca="1">INDIRECT("'4.12'!G$"&amp;'4.12'!N$2)</f>
        <v>0</v>
      </c>
    </row>
    <row r="50" spans="1:19" ht="14.25" customHeight="1" x14ac:dyDescent="0.25">
      <c r="A50" s="973"/>
      <c r="B50" s="436" t="str">
        <f t="shared" ca="1" si="0"/>
        <v/>
      </c>
      <c r="C50" s="426" t="str">
        <f t="shared" ca="1" si="1"/>
        <v/>
      </c>
      <c r="D50" s="425"/>
      <c r="E50" s="425"/>
      <c r="F50" s="425"/>
      <c r="G50" s="653" t="str">
        <f t="shared" ca="1" si="2"/>
        <v/>
      </c>
      <c r="H50" s="653" t="str">
        <f t="shared" ca="1" si="3"/>
        <v/>
      </c>
      <c r="L50" s="743">
        <f>IF('4.13'!N$3&gt;0,1,0)</f>
        <v>0</v>
      </c>
      <c r="M50" s="737">
        <f t="shared" ca="1" si="6"/>
        <v>0</v>
      </c>
      <c r="N50" s="738">
        <f ca="1">IF(C$19=L$5,M50,MID(INDIRECT("'4.13'!C$"&amp;'4.13'!N$1+2),12,SEARCH(",",INDIRECT("'4.13'!C$"&amp;'4.13'!N$1+2),12)-12))</f>
        <v>0</v>
      </c>
      <c r="O50" s="738" t="str">
        <f ca="1">INDIRECT("'4.13'!B$"&amp;'4.13'!N$1)</f>
        <v>PHOTOGRAMMETRIE</v>
      </c>
      <c r="P50" s="738"/>
      <c r="Q50" s="738"/>
      <c r="R50" s="738"/>
      <c r="S50" s="746">
        <f ca="1">INDIRECT("'4.13'!G$"&amp;'4.13'!N$2)</f>
        <v>0</v>
      </c>
    </row>
    <row r="51" spans="1:19" ht="14.25" customHeight="1" x14ac:dyDescent="0.25">
      <c r="A51" s="973"/>
      <c r="B51" s="436" t="str">
        <f t="shared" ca="1" si="0"/>
        <v/>
      </c>
      <c r="C51" s="426" t="str">
        <f t="shared" ca="1" si="1"/>
        <v/>
      </c>
      <c r="D51" s="425"/>
      <c r="E51" s="425"/>
      <c r="F51" s="425"/>
      <c r="G51" s="653" t="str">
        <f t="shared" ca="1" si="2"/>
        <v/>
      </c>
      <c r="H51" s="653" t="str">
        <f t="shared" ca="1" si="3"/>
        <v/>
      </c>
      <c r="L51" s="743">
        <f>IF('4.14'!N$3&gt;0,1,0)</f>
        <v>0</v>
      </c>
      <c r="M51" s="737">
        <f t="shared" ca="1" si="6"/>
        <v>0</v>
      </c>
      <c r="N51" s="738">
        <f ca="1">IF(C$19=L$5,M51,MID(INDIRECT("'4.14'!C$"&amp;'4.14'!N$1+2),12,SEARCH(",",INDIRECT("'4.14'!C$"&amp;'4.14'!N$1+2),12)-12))</f>
        <v>0</v>
      </c>
      <c r="O51" s="738" t="str">
        <f ca="1">INDIRECT("'4.14'!B$"&amp;'4.14'!N$1)</f>
        <v>LASERSCANNING</v>
      </c>
      <c r="P51" s="738"/>
      <c r="Q51" s="738"/>
      <c r="R51" s="738"/>
      <c r="S51" s="746">
        <f ca="1">INDIRECT("'4.14'!G$"&amp;'4.14'!N$2)</f>
        <v>0</v>
      </c>
    </row>
    <row r="52" spans="1:19" s="425" customFormat="1" ht="14.25" customHeight="1" x14ac:dyDescent="0.25">
      <c r="A52" s="973"/>
      <c r="B52" s="436" t="str">
        <f t="shared" ca="1" si="0"/>
        <v/>
      </c>
      <c r="C52" s="426" t="str">
        <f t="shared" ca="1" si="1"/>
        <v/>
      </c>
      <c r="G52" s="653" t="str">
        <f t="shared" ca="1" si="2"/>
        <v/>
      </c>
      <c r="H52" s="653" t="str">
        <f t="shared" ca="1" si="3"/>
        <v/>
      </c>
      <c r="L52" s="743">
        <f>IF('4.15'!N$3&gt;0,1,0)</f>
        <v>0</v>
      </c>
      <c r="M52" s="737">
        <f t="shared" ca="1" si="6"/>
        <v>0</v>
      </c>
      <c r="N52" s="738">
        <f ca="1">IF(C$19=L$5,M52,MID(INDIRECT("'4.15'!C$"&amp;'4.15'!N$1+2),12,SEARCH(",",INDIRECT("'4.15'!C$"&amp;'4.15'!N$1+2),12)-12))</f>
        <v>0</v>
      </c>
      <c r="O52" s="738" t="str">
        <f ca="1">INDIRECT("'4.15'!B$"&amp;'4.15'!N$1)</f>
        <v xml:space="preserve">STABILISIERUNG und SIGNALISIERUNG </v>
      </c>
      <c r="P52" s="738"/>
      <c r="Q52" s="738"/>
      <c r="R52" s="738"/>
      <c r="S52" s="746">
        <f ca="1">INDIRECT("'4.15'!G$"&amp;'4.15'!N$2)</f>
        <v>0</v>
      </c>
    </row>
    <row r="53" spans="1:19" ht="14.25" customHeight="1" x14ac:dyDescent="0.25">
      <c r="A53" s="973"/>
      <c r="B53" s="436" t="str">
        <f t="shared" ca="1" si="0"/>
        <v/>
      </c>
      <c r="C53" s="426" t="str">
        <f t="shared" ca="1" si="1"/>
        <v/>
      </c>
      <c r="D53" s="425"/>
      <c r="E53" s="425"/>
      <c r="F53" s="425"/>
      <c r="G53" s="653" t="str">
        <f t="shared" ca="1" si="2"/>
        <v/>
      </c>
      <c r="H53" s="653" t="str">
        <f t="shared" ca="1" si="3"/>
        <v/>
      </c>
      <c r="L53" s="743">
        <f>IF('5.1'!N$3&gt;0,1,0)</f>
        <v>0</v>
      </c>
      <c r="M53" s="737">
        <f t="shared" ca="1" si="6"/>
        <v>0</v>
      </c>
      <c r="N53" s="738">
        <f ca="1">IF(C$19=L$5,M53,MID(INDIRECT("'5.1'!C$"&amp;'5.1'!N$1+2),12,SEARCH(",",INDIRECT("'5.1'!C$"&amp;'5.1'!N$1+2),12)-12))</f>
        <v>0</v>
      </c>
      <c r="O53" s="738" t="str">
        <f ca="1">INDIRECT("'5.1'!B$"&amp;'5.1'!N$1)</f>
        <v>GEOINFORMATION</v>
      </c>
      <c r="P53" s="738"/>
      <c r="Q53" s="738"/>
      <c r="R53" s="738"/>
      <c r="S53" s="746">
        <f ca="1">INDIRECT("'5.1'!G$"&amp;'5.1'!N$2)</f>
        <v>0</v>
      </c>
    </row>
    <row r="54" spans="1:19" ht="14.25" customHeight="1" x14ac:dyDescent="0.25">
      <c r="A54" s="973"/>
      <c r="B54" s="436" t="str">
        <f t="shared" ca="1" si="0"/>
        <v/>
      </c>
      <c r="C54" s="426" t="str">
        <f t="shared" ca="1" si="1"/>
        <v/>
      </c>
      <c r="D54" s="425"/>
      <c r="E54" s="425"/>
      <c r="F54" s="425"/>
      <c r="G54" s="653" t="str">
        <f t="shared" ca="1" si="2"/>
        <v/>
      </c>
      <c r="H54" s="653" t="str">
        <f t="shared" ca="1" si="3"/>
        <v/>
      </c>
      <c r="L54" s="743">
        <f>IF('6.1'!N$3&gt;0,1,0)</f>
        <v>0</v>
      </c>
      <c r="M54" s="737">
        <f t="shared" ca="1" si="6"/>
        <v>0</v>
      </c>
      <c r="N54" s="738">
        <f ca="1">IF(C$19=L$5,M54,MID(INDIRECT("'6.1'!C$"&amp;'6.1'!N$1+2),12,SEARCH(",",INDIRECT("'6.1'!C$"&amp;'6.1'!N$1+2),12)-12))</f>
        <v>0</v>
      </c>
      <c r="O54" s="738" t="str">
        <f ca="1">INDIRECT("'6.1'!B$"&amp;'6.1'!N$1)</f>
        <v>KANZLEIHONORARE</v>
      </c>
      <c r="P54" s="738"/>
      <c r="Q54" s="738"/>
      <c r="R54" s="738"/>
      <c r="S54" s="746">
        <f ca="1">INDIRECT("'6.1'!G$"&amp;'6.1'!N$2)</f>
        <v>0</v>
      </c>
    </row>
    <row r="55" spans="1:19" ht="14.25" customHeight="1" x14ac:dyDescent="0.25">
      <c r="A55" s="973"/>
      <c r="B55" s="436" t="str">
        <f t="shared" ca="1" si="0"/>
        <v/>
      </c>
      <c r="C55" s="426" t="str">
        <f t="shared" ca="1" si="1"/>
        <v/>
      </c>
      <c r="D55" s="425"/>
      <c r="E55" s="425"/>
      <c r="F55" s="425"/>
      <c r="G55" s="653" t="str">
        <f t="shared" ca="1" si="2"/>
        <v/>
      </c>
      <c r="H55" s="653" t="str">
        <f t="shared" ca="1" si="3"/>
        <v/>
      </c>
      <c r="L55" s="743">
        <f>IF('6.2'!N$3&gt;0,1,0)</f>
        <v>0</v>
      </c>
      <c r="M55" s="737">
        <f t="shared" ca="1" si="6"/>
        <v>0</v>
      </c>
      <c r="N55" s="738">
        <f ca="1">IF(C$19=L$5,M55,MID(INDIRECT("'6.2'!C$"&amp;'6.2'!N$1+2),12,SEARCH(",",INDIRECT("'6.2'!C$"&amp;'6.2'!N$1+2),12)-12))</f>
        <v>0</v>
      </c>
      <c r="O55" s="738" t="str">
        <f ca="1">INDIRECT("'6.2'!B$"&amp;'6.2'!N$1)</f>
        <v>REGIELEISTUNGEN</v>
      </c>
      <c r="P55" s="738"/>
      <c r="Q55" s="738"/>
      <c r="R55" s="738"/>
      <c r="S55" s="746">
        <f ca="1">INDIRECT("'6.2'!G$"&amp;'6.2'!N$2)</f>
        <v>0</v>
      </c>
    </row>
    <row r="56" spans="1:19" ht="14.25" customHeight="1" x14ac:dyDescent="0.25">
      <c r="A56" s="973"/>
      <c r="B56" s="436" t="str">
        <f t="shared" ca="1" si="0"/>
        <v/>
      </c>
      <c r="C56" s="426" t="str">
        <f t="shared" ca="1" si="1"/>
        <v/>
      </c>
      <c r="D56" s="425"/>
      <c r="E56" s="425"/>
      <c r="F56" s="425"/>
      <c r="G56" s="653" t="str">
        <f t="shared" ca="1" si="2"/>
        <v/>
      </c>
      <c r="H56" s="653" t="str">
        <f t="shared" ca="1" si="3"/>
        <v/>
      </c>
      <c r="L56" s="743">
        <f>IF('6.3'!N$3&gt;0,1,0)</f>
        <v>0</v>
      </c>
      <c r="M56" s="737">
        <f t="shared" ca="1" si="6"/>
        <v>0</v>
      </c>
      <c r="N56" s="738">
        <f ca="1">IF(C$19=L$5,M56,MID(INDIRECT("'6.3'!C$"&amp;'6.3'!N$1+2),12,SEARCH(",",INDIRECT("'6.3'!C$"&amp;'6.3'!N$1+2),12)-12))</f>
        <v>0</v>
      </c>
      <c r="O56" s="738" t="str">
        <f ca="1">INDIRECT("'6.3'!B$"&amp;'6.3'!N$1)</f>
        <v>NEBENKOSTEN</v>
      </c>
      <c r="P56" s="738"/>
      <c r="Q56" s="738"/>
      <c r="R56" s="738"/>
      <c r="S56" s="746">
        <f ca="1">INDIRECT("'6.3'!G$"&amp;'6.3'!N$2)</f>
        <v>0</v>
      </c>
    </row>
    <row r="57" spans="1:19" ht="14.25" customHeight="1" x14ac:dyDescent="0.25">
      <c r="A57" s="973"/>
      <c r="B57" s="436" t="str">
        <f t="shared" ca="1" si="0"/>
        <v/>
      </c>
      <c r="C57" s="426" t="str">
        <f t="shared" ca="1" si="1"/>
        <v/>
      </c>
      <c r="D57" s="425"/>
      <c r="E57" s="425"/>
      <c r="F57" s="425"/>
      <c r="G57" s="653" t="str">
        <f t="shared" ca="1" si="2"/>
        <v/>
      </c>
      <c r="H57" s="653" t="str">
        <f t="shared" ca="1" si="3"/>
        <v/>
      </c>
      <c r="L57" s="747"/>
      <c r="M57" s="738"/>
      <c r="N57" s="738"/>
      <c r="O57" s="738"/>
      <c r="P57" s="738"/>
      <c r="Q57" s="738"/>
      <c r="R57" s="738"/>
      <c r="S57" s="746"/>
    </row>
    <row r="58" spans="1:19" s="425" customFormat="1" ht="14.25" customHeight="1" thickBot="1" x14ac:dyDescent="0.3">
      <c r="A58" s="973"/>
      <c r="B58" s="436" t="str">
        <f t="shared" ca="1" si="0"/>
        <v/>
      </c>
      <c r="C58" s="426" t="str">
        <f t="shared" ca="1" si="1"/>
        <v/>
      </c>
      <c r="G58" s="653" t="str">
        <f t="shared" ca="1" si="2"/>
        <v/>
      </c>
      <c r="H58" s="653" t="str">
        <f t="shared" ca="1" si="3"/>
        <v/>
      </c>
      <c r="L58" s="748" t="s">
        <v>695</v>
      </c>
      <c r="M58" s="749">
        <f ca="1">M56</f>
        <v>0</v>
      </c>
      <c r="N58" s="750"/>
      <c r="O58" s="750"/>
      <c r="P58" s="750"/>
      <c r="Q58" s="750"/>
      <c r="R58" s="751" t="s">
        <v>697</v>
      </c>
      <c r="S58" s="752">
        <f ca="1">SUM(S$32:S56)</f>
        <v>0</v>
      </c>
    </row>
    <row r="59" spans="1:19" s="425" customFormat="1" ht="14.25" customHeight="1" x14ac:dyDescent="0.25">
      <c r="A59" s="973"/>
      <c r="B59" s="436" t="str">
        <f t="shared" ca="1" si="0"/>
        <v/>
      </c>
      <c r="C59" s="426" t="str">
        <f t="shared" ca="1" si="1"/>
        <v/>
      </c>
      <c r="G59" s="653" t="str">
        <f t="shared" ca="1" si="2"/>
        <v/>
      </c>
      <c r="H59" s="653" t="str">
        <f t="shared" ca="1" si="3"/>
        <v/>
      </c>
    </row>
    <row r="60" spans="1:19" s="425" customFormat="1" ht="14.25" customHeight="1" x14ac:dyDescent="0.25">
      <c r="A60" s="973"/>
      <c r="B60" s="436" t="str">
        <f t="shared" ca="1" si="0"/>
        <v/>
      </c>
      <c r="C60" s="426" t="str">
        <f t="shared" ca="1" si="1"/>
        <v/>
      </c>
      <c r="G60" s="653" t="str">
        <f t="shared" ca="1" si="2"/>
        <v/>
      </c>
      <c r="H60" s="653" t="str">
        <f t="shared" ca="1" si="3"/>
        <v/>
      </c>
    </row>
    <row r="61" spans="1:19" s="425" customFormat="1" ht="14.25" customHeight="1" x14ac:dyDescent="0.25">
      <c r="A61" s="973"/>
      <c r="B61" s="436" t="str">
        <f t="shared" ca="1" si="0"/>
        <v/>
      </c>
      <c r="C61" s="426" t="str">
        <f t="shared" ca="1" si="1"/>
        <v/>
      </c>
      <c r="G61" s="653" t="str">
        <f t="shared" ca="1" si="2"/>
        <v/>
      </c>
      <c r="H61" s="653" t="str">
        <f t="shared" ca="1" si="3"/>
        <v/>
      </c>
    </row>
    <row r="62" spans="1:19" s="425" customFormat="1" ht="14.25" customHeight="1" x14ac:dyDescent="0.25">
      <c r="A62" s="973"/>
      <c r="B62" s="436" t="str">
        <f t="shared" ca="1" si="0"/>
        <v/>
      </c>
      <c r="C62" s="426" t="str">
        <f t="shared" ca="1" si="1"/>
        <v/>
      </c>
      <c r="G62" s="653" t="str">
        <f t="shared" ca="1" si="2"/>
        <v/>
      </c>
      <c r="H62" s="653" t="str">
        <f t="shared" ca="1" si="3"/>
        <v/>
      </c>
    </row>
    <row r="63" spans="1:19" ht="14.25" customHeight="1" x14ac:dyDescent="0.25">
      <c r="A63" s="973"/>
      <c r="B63" s="221"/>
      <c r="C63" s="736" t="str">
        <f ca="1">IF(maxzeile&gt;31,"Wegen Platzmangel nicht alle Positionen angeführt  - ev. nur kalkulierte Pos. anführen!","")</f>
        <v/>
      </c>
      <c r="D63" s="221"/>
      <c r="E63" s="221"/>
      <c r="F63" s="222"/>
      <c r="G63" s="221"/>
      <c r="H63" s="221"/>
      <c r="I63" s="221"/>
    </row>
    <row r="64" spans="1:19" ht="11.25" customHeight="1" x14ac:dyDescent="0.25">
      <c r="A64" s="973"/>
      <c r="C64" s="425" t="str">
        <f ca="1">IF(CELL("Zeile",B64)-CELL("Zeile",B$31)&lt;=maxzeile,VLOOKUP(CELL("Zeile",B64)-CELL("Zeile",B$31),M54:T75,2,FALSE),"")</f>
        <v/>
      </c>
      <c r="G64" s="653" t="str">
        <f ca="1">IF(CELL("Zeile",B64)-CELL("Zeile",B$31)&lt;=maxzeile,VLOOKUP(CELL("Zeile",B64)-CELL("Zeile",B$31),M54:T75,7,FALSE),"")</f>
        <v/>
      </c>
      <c r="I64" s="425"/>
    </row>
    <row r="65" spans="1:9" x14ac:dyDescent="0.25">
      <c r="A65" s="973"/>
      <c r="B65" s="425"/>
      <c r="C65" s="425" t="s">
        <v>658</v>
      </c>
      <c r="D65" s="425"/>
      <c r="E65" s="425"/>
      <c r="F65" s="425"/>
      <c r="G65" s="653">
        <f ca="1">SUM(G32:G62)</f>
        <v>0</v>
      </c>
      <c r="H65" s="653">
        <f ca="1">IF(G$19&lt;&gt;L$11,SUM(H32:H62),"")</f>
        <v>0</v>
      </c>
      <c r="I65" s="653"/>
    </row>
    <row r="66" spans="1:9" x14ac:dyDescent="0.25">
      <c r="A66" s="973"/>
      <c r="B66" s="425"/>
      <c r="C66" s="655" t="str">
        <f>IF(E16&lt;&gt;0,E16,"")</f>
        <v/>
      </c>
      <c r="D66" s="425" t="str">
        <f>IF(AND(E16&lt;&gt;0,G16&lt;&gt;""),G16,"")</f>
        <v/>
      </c>
      <c r="E66" s="425"/>
      <c r="F66" s="425"/>
      <c r="G66" s="653" t="str">
        <f>IF(AND(E16&lt;&gt;0,E16&lt;&gt;""),$G65*C66,"")</f>
        <v/>
      </c>
      <c r="H66" s="653" t="str">
        <f>IF(AND(E16&lt;&gt;0,E16&lt;&gt;""),IF(G$19&lt;&gt;L$11,ROUND(H65*C66,VLOOKUP(G$19,L$12:N$15,3,FALSE)),""),"")</f>
        <v/>
      </c>
      <c r="I66" s="653"/>
    </row>
    <row r="67" spans="1:9" ht="12" customHeight="1" x14ac:dyDescent="0.25">
      <c r="A67" s="973"/>
      <c r="B67" s="221"/>
      <c r="C67" s="221"/>
      <c r="D67" s="221"/>
      <c r="E67" s="221"/>
      <c r="F67" s="222"/>
      <c r="G67" s="221"/>
      <c r="H67" s="221"/>
      <c r="I67" s="221"/>
    </row>
    <row r="68" spans="1:9" ht="9.75" customHeight="1" x14ac:dyDescent="0.25">
      <c r="A68" s="973"/>
      <c r="B68" s="425"/>
      <c r="C68" s="425" t="str">
        <f ca="1">IF(CELL("Zeile",B68)-CELL("Zeile",B$31)&lt;=maxzeile,VLOOKUP(CELL("Zeile",B68)-CELL("Zeile",B$31),M63:T79,2,FALSE),"")</f>
        <v/>
      </c>
      <c r="D68" s="425"/>
      <c r="E68" s="425"/>
      <c r="F68" s="425"/>
      <c r="G68" s="653" t="str">
        <f ca="1">IF(CELL("Zeile",B68)-CELL("Zeile",B$31)&lt;=maxzeile,VLOOKUP(CELL("Zeile",B68)-CELL("Zeile",B$31),M63:T79,7,FALSE),"")</f>
        <v/>
      </c>
      <c r="H68" s="425"/>
      <c r="I68" s="425"/>
    </row>
    <row r="69" spans="1:9" ht="15.75" x14ac:dyDescent="0.25">
      <c r="A69" s="973"/>
      <c r="B69" s="425"/>
      <c r="C69" s="433" t="str">
        <f>IF(G$19=L$11,"Gesamthonorar netto","Gesamthonorar netto - gerundet")</f>
        <v>Gesamthonorar netto - gerundet</v>
      </c>
      <c r="D69" s="159"/>
      <c r="E69" s="159"/>
      <c r="F69" s="165"/>
      <c r="G69" s="966">
        <f ca="1">IF(G$19=L$11,SUM(G65,G66),SUM(H65,H66))</f>
        <v>0</v>
      </c>
      <c r="H69" s="966"/>
      <c r="I69" s="425"/>
    </row>
    <row r="70" spans="1:9" x14ac:dyDescent="0.25">
      <c r="A70" s="973"/>
      <c r="B70" s="425"/>
      <c r="C70" s="425" t="s">
        <v>659</v>
      </c>
      <c r="D70" s="425"/>
      <c r="E70" s="425"/>
      <c r="F70" s="425"/>
      <c r="G70" s="425"/>
      <c r="H70" s="529">
        <f ca="1">G69*0.2</f>
        <v>0</v>
      </c>
      <c r="I70" s="425"/>
    </row>
    <row r="71" spans="1:9" ht="15" customHeight="1" x14ac:dyDescent="0.25">
      <c r="A71" s="973"/>
      <c r="B71" s="445"/>
      <c r="C71" s="425" t="str">
        <f>IF('3.1'!L25&gt;0,"mehrwertsteuerfreie Beträge","")</f>
        <v/>
      </c>
      <c r="D71" s="425"/>
      <c r="E71" s="425"/>
      <c r="F71" s="425"/>
      <c r="G71" s="425"/>
      <c r="H71" s="529" t="str">
        <f>IF('3.1'!L25&gt;0,ROUND('3.1'!L25,2),"")</f>
        <v/>
      </c>
      <c r="I71" s="425"/>
    </row>
    <row r="72" spans="1:9" ht="15.75" x14ac:dyDescent="0.25">
      <c r="A72" s="973"/>
      <c r="B72" s="425"/>
      <c r="C72" s="717" t="s">
        <v>660</v>
      </c>
      <c r="D72" s="717"/>
      <c r="E72" s="425"/>
      <c r="F72" s="425"/>
      <c r="G72" s="967">
        <f ca="1">SUM(G69:H71)</f>
        <v>0</v>
      </c>
      <c r="H72" s="967"/>
      <c r="I72" s="425"/>
    </row>
  </sheetData>
  <mergeCells count="22">
    <mergeCell ref="A21:A72"/>
    <mergeCell ref="B22:I22"/>
    <mergeCell ref="B24:I24"/>
    <mergeCell ref="B25:I25"/>
    <mergeCell ref="A1:A20"/>
    <mergeCell ref="E10:H10"/>
    <mergeCell ref="E11:H11"/>
    <mergeCell ref="E9:H9"/>
    <mergeCell ref="E2:H2"/>
    <mergeCell ref="E6:H6"/>
    <mergeCell ref="E5:H5"/>
    <mergeCell ref="E7:H7"/>
    <mergeCell ref="L2:P3"/>
    <mergeCell ref="G69:H69"/>
    <mergeCell ref="G72:H72"/>
    <mergeCell ref="B27:I27"/>
    <mergeCell ref="B23:I23"/>
    <mergeCell ref="C19:D19"/>
    <mergeCell ref="E19:F19"/>
    <mergeCell ref="G19:H19"/>
    <mergeCell ref="E4:H4"/>
    <mergeCell ref="E12:H12"/>
  </mergeCells>
  <dataValidations count="4">
    <dataValidation type="decimal" operator="greaterThan" showInputMessage="1" showErrorMessage="1" sqref="E16">
      <formula1>-10000</formula1>
    </dataValidation>
    <dataValidation type="list" showInputMessage="1" showErrorMessage="1" sqref="C19">
      <formula1>$L$5:$L$6</formula1>
    </dataValidation>
    <dataValidation type="list" showInputMessage="1" showErrorMessage="1" sqref="E19:F19">
      <formula1>$L$8:$L$9</formula1>
    </dataValidation>
    <dataValidation type="list" showInputMessage="1" showErrorMessage="1" sqref="G19:H19">
      <formula1>$L$11:$L$15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zoomScaleSheetLayoutView="100" workbookViewId="0">
      <selection activeCell="C9" sqref="C9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  <col min="10" max="10" width="8.7109375" style="27" customWidth="1"/>
    <col min="11" max="11" width="11.42578125" style="136"/>
    <col min="12" max="13" width="11.42578125" style="137"/>
    <col min="14" max="18" width="11.42578125" style="210"/>
  </cols>
  <sheetData>
    <row r="1" spans="1:19" ht="17.25" customHeight="1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N1" s="210">
        <f ca="1">CELL("ZEILE",B27)</f>
        <v>27</v>
      </c>
    </row>
    <row r="2" spans="1:19" ht="22.5" customHeight="1" x14ac:dyDescent="0.25">
      <c r="A2" s="975"/>
      <c r="B2" s="64"/>
      <c r="C2" s="65" t="s">
        <v>36</v>
      </c>
      <c r="D2" s="1051" t="s">
        <v>715</v>
      </c>
      <c r="E2" s="1052"/>
      <c r="F2" s="1052"/>
      <c r="G2" s="1052"/>
      <c r="H2" s="1053"/>
      <c r="I2" s="63"/>
      <c r="K2" s="268" t="s">
        <v>793</v>
      </c>
      <c r="L2" s="236"/>
      <c r="M2" s="236"/>
      <c r="N2" s="268">
        <f ca="1">CELL("ZEILE",G53)</f>
        <v>53</v>
      </c>
      <c r="O2" s="268"/>
      <c r="P2" s="268"/>
    </row>
    <row r="3" spans="1:19" ht="22.5" customHeight="1" x14ac:dyDescent="0.25">
      <c r="A3" s="975"/>
      <c r="B3" s="64"/>
      <c r="C3" s="89"/>
      <c r="D3" s="1048" t="s">
        <v>251</v>
      </c>
      <c r="E3" s="1049"/>
      <c r="F3" s="1049"/>
      <c r="G3" s="1049"/>
      <c r="H3" s="1050"/>
      <c r="I3" s="63"/>
      <c r="K3" s="268" t="s">
        <v>794</v>
      </c>
      <c r="L3" s="236"/>
      <c r="M3" s="236"/>
      <c r="N3" s="268">
        <f>F19</f>
        <v>0</v>
      </c>
      <c r="O3" s="268"/>
      <c r="P3" s="268"/>
    </row>
    <row r="4" spans="1:19" ht="17.25" customHeight="1" x14ac:dyDescent="0.25">
      <c r="A4" s="975"/>
      <c r="B4" s="64"/>
      <c r="C4" s="92"/>
      <c r="D4" s="19"/>
      <c r="E4" s="19"/>
      <c r="F4" s="19"/>
      <c r="G4" s="19"/>
      <c r="H4" s="93"/>
      <c r="I4" s="63"/>
      <c r="K4" s="268"/>
      <c r="L4" s="236"/>
      <c r="M4" s="236"/>
      <c r="N4" s="268"/>
      <c r="O4" s="268"/>
      <c r="P4" s="268"/>
      <c r="Q4" s="268"/>
      <c r="S4" s="7"/>
    </row>
    <row r="5" spans="1:19" ht="17.25" customHeight="1" x14ac:dyDescent="0.25">
      <c r="A5" s="975"/>
      <c r="B5" s="64"/>
      <c r="C5" s="92"/>
      <c r="D5" s="19"/>
      <c r="E5" s="19"/>
      <c r="F5" s="19"/>
      <c r="G5" s="19"/>
      <c r="H5" s="93"/>
      <c r="I5" s="63"/>
      <c r="K5" s="268"/>
      <c r="L5" s="236"/>
      <c r="M5" s="236"/>
      <c r="N5" s="268"/>
      <c r="O5" s="268"/>
      <c r="P5" s="268"/>
      <c r="S5" s="7"/>
    </row>
    <row r="6" spans="1:19" ht="17.25" customHeight="1" x14ac:dyDescent="0.25">
      <c r="A6" s="975"/>
      <c r="B6" s="64"/>
      <c r="C6" s="92"/>
      <c r="D6" s="19"/>
      <c r="E6" s="19"/>
      <c r="F6" s="19"/>
      <c r="G6" s="19"/>
      <c r="H6" s="93"/>
      <c r="I6" s="63"/>
      <c r="K6" s="210"/>
      <c r="S6" s="7"/>
    </row>
    <row r="7" spans="1:19" ht="19.5" customHeight="1" x14ac:dyDescent="0.25">
      <c r="A7" s="975"/>
      <c r="B7" s="64"/>
      <c r="C7" s="1089" t="s">
        <v>252</v>
      </c>
      <c r="D7" s="1092" t="s">
        <v>254</v>
      </c>
      <c r="E7" s="1092" t="s">
        <v>253</v>
      </c>
      <c r="F7" s="1092"/>
      <c r="G7" s="1098" t="s">
        <v>247</v>
      </c>
      <c r="H7" s="1098"/>
      <c r="I7" s="310"/>
      <c r="K7" s="210"/>
      <c r="L7" s="209"/>
      <c r="M7" s="209"/>
      <c r="S7" s="7"/>
    </row>
    <row r="8" spans="1:19" s="2" customFormat="1" ht="20.100000000000001" customHeight="1" x14ac:dyDescent="0.25">
      <c r="A8" s="975"/>
      <c r="B8" s="64"/>
      <c r="C8" s="1089"/>
      <c r="D8" s="1092"/>
      <c r="E8" s="1092"/>
      <c r="F8" s="1092"/>
      <c r="G8" s="1098"/>
      <c r="H8" s="1098"/>
      <c r="I8" s="232"/>
      <c r="J8" s="28"/>
      <c r="K8" s="142" t="s">
        <v>255</v>
      </c>
      <c r="L8" s="292" t="s">
        <v>155</v>
      </c>
      <c r="M8" s="293" t="s">
        <v>156</v>
      </c>
      <c r="N8" s="142"/>
      <c r="O8" s="142"/>
      <c r="P8" s="142"/>
      <c r="Q8" s="142"/>
      <c r="R8" s="142"/>
    </row>
    <row r="9" spans="1:19" s="2" customFormat="1" ht="20.100000000000001" customHeight="1" x14ac:dyDescent="0.25">
      <c r="A9" s="975"/>
      <c r="B9" s="64"/>
      <c r="C9" s="368">
        <v>0</v>
      </c>
      <c r="D9" s="100" t="s">
        <v>243</v>
      </c>
      <c r="E9" s="100">
        <v>20</v>
      </c>
      <c r="F9" s="312">
        <f>VLOOKUP(E9,Konstante!$F$128:$G$133,2,FALSE)</f>
        <v>50</v>
      </c>
      <c r="G9" s="1097" t="s">
        <v>248</v>
      </c>
      <c r="H9" s="1097"/>
      <c r="I9" s="311"/>
      <c r="J9" s="28"/>
      <c r="K9" s="313">
        <f>VLOOKUP(D9,Konstante!$C$128:$D$130,2,FALSE)</f>
        <v>3.5</v>
      </c>
      <c r="L9" s="294">
        <f>VLOOKUP(E9,Konstante!$F$128:$H$133,3,FALSE)</f>
        <v>1</v>
      </c>
      <c r="M9" s="314">
        <f>VLOOKUP(G9,Konstante!$J$128:$K$130,2,FALSE)</f>
        <v>1</v>
      </c>
      <c r="N9" s="226">
        <f>K9*L9*C9*M9*Gesamt!$E$14</f>
        <v>0</v>
      </c>
      <c r="O9" s="142"/>
      <c r="P9" s="142"/>
      <c r="Q9" s="142"/>
      <c r="R9" s="142"/>
    </row>
    <row r="10" spans="1:19" s="2" customFormat="1" ht="20.100000000000001" customHeight="1" x14ac:dyDescent="0.25">
      <c r="A10" s="975"/>
      <c r="B10" s="64"/>
      <c r="C10" s="368">
        <v>0</v>
      </c>
      <c r="D10" s="100" t="s">
        <v>244</v>
      </c>
      <c r="E10" s="100">
        <v>50</v>
      </c>
      <c r="F10" s="312">
        <f>VLOOKUP(E10,Konstante!$F$128:$G$133,2,FALSE)</f>
        <v>20</v>
      </c>
      <c r="G10" s="1097" t="s">
        <v>249</v>
      </c>
      <c r="H10" s="1097"/>
      <c r="I10" s="311"/>
      <c r="J10" s="28"/>
      <c r="K10" s="313">
        <f>VLOOKUP(D10,Konstante!$C$128:$D$130,2,FALSE)</f>
        <v>7</v>
      </c>
      <c r="L10" s="294">
        <f>VLOOKUP(E10,Konstante!$F$128:$H$133,3,FALSE)</f>
        <v>2</v>
      </c>
      <c r="M10" s="314">
        <f>VLOOKUP(G10,Konstante!$J$128:$K$130,2,FALSE)</f>
        <v>1.8</v>
      </c>
      <c r="N10" s="226">
        <f>K10*L10*C10*M10*Gesamt!$E$14</f>
        <v>0</v>
      </c>
      <c r="O10" s="142"/>
      <c r="P10" s="142"/>
      <c r="Q10" s="142"/>
      <c r="R10" s="142"/>
    </row>
    <row r="11" spans="1:19" s="2" customFormat="1" ht="20.100000000000001" customHeight="1" x14ac:dyDescent="0.25">
      <c r="A11" s="975"/>
      <c r="B11" s="64"/>
      <c r="C11" s="369">
        <v>0</v>
      </c>
      <c r="D11" s="100" t="s">
        <v>245</v>
      </c>
      <c r="E11" s="100">
        <v>100</v>
      </c>
      <c r="F11" s="312">
        <f>VLOOKUP(E11,Konstante!$F$128:$G$133,2,FALSE)</f>
        <v>10</v>
      </c>
      <c r="G11" s="1097" t="s">
        <v>250</v>
      </c>
      <c r="H11" s="1097"/>
      <c r="I11" s="311"/>
      <c r="J11" s="28"/>
      <c r="K11" s="313">
        <f>VLOOKUP(D11,Konstante!$C$128:$D$130,2,FALSE)</f>
        <v>10.5</v>
      </c>
      <c r="L11" s="294">
        <f>VLOOKUP(E11,Konstante!$F$128:$H$133,3,FALSE)</f>
        <v>4</v>
      </c>
      <c r="M11" s="314">
        <f>VLOOKUP(G11,Konstante!$J$128:$K$130,2,FALSE)</f>
        <v>2.2000000000000002</v>
      </c>
      <c r="N11" s="711">
        <f>K11*L11*C11*M11*Gesamt!$E$14</f>
        <v>0</v>
      </c>
      <c r="O11" s="142"/>
      <c r="P11" s="142"/>
      <c r="Q11" s="142"/>
      <c r="R11" s="142"/>
    </row>
    <row r="12" spans="1:19" s="2" customFormat="1" ht="20.100000000000001" customHeight="1" x14ac:dyDescent="0.25">
      <c r="A12" s="975"/>
      <c r="B12" s="64"/>
      <c r="C12" s="370">
        <f>SUM(C9:C11)</f>
        <v>0</v>
      </c>
      <c r="D12" s="19"/>
      <c r="E12" s="19"/>
      <c r="F12" s="19"/>
      <c r="G12" s="19"/>
      <c r="H12" s="93"/>
      <c r="I12" s="65"/>
      <c r="J12" s="28"/>
      <c r="K12" s="142"/>
      <c r="L12" s="292"/>
      <c r="M12" s="294"/>
      <c r="N12" s="376">
        <f>SUM(N9:N11)</f>
        <v>0</v>
      </c>
      <c r="O12" s="142"/>
      <c r="P12" s="142"/>
      <c r="Q12" s="142"/>
      <c r="R12" s="142"/>
    </row>
    <row r="13" spans="1:19" s="2" customFormat="1" ht="20.100000000000001" customHeight="1" x14ac:dyDescent="0.25">
      <c r="A13" s="975"/>
      <c r="B13" s="63"/>
      <c r="C13" s="92"/>
      <c r="D13" s="19"/>
      <c r="E13" s="19"/>
      <c r="F13" s="19"/>
      <c r="G13" s="19"/>
      <c r="H13" s="93"/>
      <c r="I13" s="65"/>
      <c r="J13" s="28"/>
      <c r="K13" s="142"/>
      <c r="L13" s="292"/>
      <c r="M13" s="294"/>
      <c r="N13" s="227"/>
      <c r="O13" s="142"/>
      <c r="P13" s="142"/>
      <c r="Q13" s="142"/>
      <c r="R13" s="142"/>
    </row>
    <row r="14" spans="1:19" s="2" customFormat="1" ht="20.100000000000001" customHeight="1" x14ac:dyDescent="0.25">
      <c r="A14" s="975"/>
      <c r="B14" s="64"/>
      <c r="C14" s="92"/>
      <c r="D14" s="19"/>
      <c r="E14" s="19"/>
      <c r="F14" s="19"/>
      <c r="G14" s="19"/>
      <c r="H14" s="93"/>
      <c r="I14" s="65"/>
      <c r="J14" s="28"/>
      <c r="K14" s="142"/>
      <c r="L14" s="211"/>
      <c r="M14" s="144"/>
      <c r="N14" s="227"/>
      <c r="O14" s="142"/>
      <c r="P14" s="142"/>
      <c r="Q14" s="142"/>
      <c r="R14" s="142"/>
    </row>
    <row r="15" spans="1:19" s="2" customFormat="1" ht="20.100000000000001" customHeight="1" x14ac:dyDescent="0.25">
      <c r="A15" s="975"/>
      <c r="B15" s="64"/>
      <c r="C15" s="97" t="s">
        <v>705</v>
      </c>
      <c r="D15" s="707"/>
      <c r="E15" s="19"/>
      <c r="F15" s="19"/>
      <c r="G15" s="19"/>
      <c r="H15" s="93"/>
      <c r="I15" s="65"/>
      <c r="J15" s="28"/>
      <c r="K15" s="142"/>
      <c r="L15" s="211"/>
      <c r="M15" s="144"/>
      <c r="N15" s="711">
        <f>D15</f>
        <v>0</v>
      </c>
      <c r="O15" s="142"/>
      <c r="P15" s="142"/>
      <c r="Q15" s="142"/>
      <c r="R15" s="142"/>
    </row>
    <row r="16" spans="1:19" s="2" customFormat="1" ht="20.100000000000001" customHeight="1" x14ac:dyDescent="0.25">
      <c r="A16" s="975"/>
      <c r="B16" s="64"/>
      <c r="C16" s="92"/>
      <c r="D16" s="19"/>
      <c r="E16" s="19"/>
      <c r="F16" s="19"/>
      <c r="G16" s="19"/>
      <c r="H16" s="93"/>
      <c r="I16" s="65"/>
      <c r="J16" s="28"/>
      <c r="K16" s="142"/>
      <c r="L16" s="144"/>
      <c r="M16" s="144"/>
      <c r="N16" s="376"/>
      <c r="O16" s="142"/>
      <c r="P16" s="142"/>
      <c r="Q16" s="142"/>
      <c r="R16" s="142"/>
    </row>
    <row r="17" spans="1:18" s="2" customFormat="1" ht="20.100000000000001" customHeight="1" x14ac:dyDescent="0.25">
      <c r="A17" s="975"/>
      <c r="B17" s="64"/>
      <c r="C17" s="92"/>
      <c r="D17" s="19"/>
      <c r="E17" s="19"/>
      <c r="F17" s="19"/>
      <c r="G17" s="19"/>
      <c r="H17" s="93"/>
      <c r="I17" s="65"/>
      <c r="J17" s="28"/>
      <c r="K17" s="142"/>
      <c r="L17" s="144"/>
      <c r="M17" s="144"/>
      <c r="N17" s="211">
        <f>SUM(N12,N15)</f>
        <v>0</v>
      </c>
      <c r="O17" s="142"/>
      <c r="P17" s="142"/>
      <c r="Q17" s="142"/>
      <c r="R17" s="142"/>
    </row>
    <row r="18" spans="1:18" s="2" customFormat="1" ht="20.100000000000001" customHeight="1" x14ac:dyDescent="0.25">
      <c r="A18" s="975"/>
      <c r="B18" s="64"/>
      <c r="C18" s="94"/>
      <c r="D18" s="95"/>
      <c r="E18" s="95"/>
      <c r="F18" s="95"/>
      <c r="G18" s="95"/>
      <c r="H18" s="96"/>
      <c r="I18" s="63"/>
      <c r="J18" s="28"/>
      <c r="K18" s="140"/>
      <c r="L18" s="144"/>
      <c r="M18" s="144"/>
      <c r="N18" s="143"/>
      <c r="O18" s="142"/>
      <c r="P18" s="142"/>
      <c r="Q18" s="142"/>
      <c r="R18" s="142"/>
    </row>
    <row r="19" spans="1:18" ht="19.5" customHeight="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9">
        <f>IF(AND(H11&lt;1,C12&lt;1,C13&lt;1),0,1)</f>
        <v>0</v>
      </c>
      <c r="G19" s="999" t="str">
        <f>IF(F19&lt;&gt;0, N17,"")</f>
        <v/>
      </c>
      <c r="H19" s="999"/>
      <c r="I19" s="63"/>
      <c r="M19" s="136"/>
    </row>
    <row r="20" spans="1:18" ht="19.5" customHeight="1" x14ac:dyDescent="0.25">
      <c r="A20" s="975"/>
      <c r="B20" s="63"/>
      <c r="C20" s="63"/>
      <c r="D20" s="63"/>
      <c r="E20" s="63"/>
      <c r="F20" s="63"/>
      <c r="G20" s="63"/>
      <c r="H20" s="63"/>
      <c r="I20" s="63"/>
    </row>
    <row r="21" spans="1:18" x14ac:dyDescent="0.25">
      <c r="A21" s="973" t="s">
        <v>72</v>
      </c>
    </row>
    <row r="22" spans="1:18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8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8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8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8" x14ac:dyDescent="0.25">
      <c r="A26" s="973"/>
    </row>
    <row r="27" spans="1:18" s="259" customFormat="1" ht="23.25" customHeight="1" x14ac:dyDescent="0.25">
      <c r="A27" s="973"/>
      <c r="B27" s="968" t="str">
        <f>CONCATENATE(D2," ",D3)</f>
        <v>ACHSEINRECHNUNG und Berechnung von Achszwischenpunkten</v>
      </c>
      <c r="C27" s="994"/>
      <c r="D27" s="994"/>
      <c r="E27" s="994"/>
      <c r="F27" s="994"/>
      <c r="G27" s="994"/>
      <c r="H27" s="994"/>
      <c r="I27" s="994"/>
      <c r="J27" s="29"/>
      <c r="K27" s="145"/>
      <c r="L27" s="146"/>
      <c r="M27" s="146"/>
      <c r="N27" s="147"/>
      <c r="O27" s="147"/>
      <c r="P27" s="147"/>
      <c r="Q27" s="147"/>
      <c r="R27" s="147"/>
    </row>
    <row r="28" spans="1:18" x14ac:dyDescent="0.25">
      <c r="A28" s="973"/>
      <c r="C28" s="45"/>
      <c r="D28" s="45"/>
      <c r="E28" s="45"/>
      <c r="F28" s="45"/>
      <c r="G28" s="45"/>
      <c r="H28" s="45"/>
    </row>
    <row r="29" spans="1:18" x14ac:dyDescent="0.25">
      <c r="A29" s="973"/>
      <c r="C29" s="45" t="s">
        <v>788</v>
      </c>
      <c r="D29" s="45"/>
      <c r="E29" s="45"/>
      <c r="F29" s="45"/>
      <c r="G29" s="45"/>
      <c r="H29" s="45"/>
    </row>
    <row r="30" spans="1:18" x14ac:dyDescent="0.25">
      <c r="A30" s="973"/>
      <c r="C30" s="45"/>
      <c r="D30" s="45"/>
      <c r="E30" s="45"/>
      <c r="F30" s="45"/>
      <c r="G30" s="45"/>
      <c r="H30" s="45"/>
    </row>
    <row r="31" spans="1:18" x14ac:dyDescent="0.25">
      <c r="A31" s="973"/>
      <c r="C31" s="45" t="s">
        <v>46</v>
      </c>
      <c r="D31" s="45"/>
      <c r="E31" s="367">
        <f>Gesamt!E14</f>
        <v>79.08</v>
      </c>
      <c r="F31" s="45"/>
      <c r="G31" s="45"/>
      <c r="H31" s="45"/>
    </row>
    <row r="32" spans="1:18" x14ac:dyDescent="0.25">
      <c r="A32" s="973"/>
      <c r="C32" s="45"/>
      <c r="D32" s="45"/>
      <c r="E32" s="45"/>
      <c r="F32" s="45"/>
      <c r="G32" s="45"/>
      <c r="H32" s="45"/>
    </row>
    <row r="33" spans="1:18" x14ac:dyDescent="0.25">
      <c r="A33" s="973"/>
      <c r="B33" s="425"/>
      <c r="C33" s="473" t="s">
        <v>877</v>
      </c>
      <c r="D33" s="473"/>
      <c r="E33" s="473"/>
      <c r="F33" s="473"/>
      <c r="G33" s="473"/>
      <c r="H33" s="473"/>
      <c r="I33" s="425"/>
    </row>
    <row r="34" spans="1:18" x14ac:dyDescent="0.25">
      <c r="A34" s="973"/>
      <c r="C34" s="155"/>
      <c r="D34" s="45"/>
      <c r="E34" s="45"/>
      <c r="F34" s="45"/>
      <c r="G34" s="45"/>
      <c r="H34" s="45"/>
    </row>
    <row r="35" spans="1:18" x14ac:dyDescent="0.25">
      <c r="A35" s="973"/>
      <c r="C35" s="155"/>
      <c r="D35" s="45"/>
      <c r="E35" s="45"/>
      <c r="F35" s="45"/>
      <c r="G35" s="45"/>
      <c r="H35" s="45"/>
    </row>
    <row r="36" spans="1:18" x14ac:dyDescent="0.25">
      <c r="A36" s="973"/>
      <c r="C36" s="1099" t="s">
        <v>252</v>
      </c>
      <c r="D36" s="1100" t="s">
        <v>256</v>
      </c>
      <c r="E36" s="1101" t="s">
        <v>253</v>
      </c>
      <c r="F36" s="1101"/>
      <c r="G36" s="1102" t="s">
        <v>247</v>
      </c>
      <c r="H36" s="1102"/>
    </row>
    <row r="37" spans="1:18" x14ac:dyDescent="0.25">
      <c r="A37" s="973"/>
      <c r="B37" s="22"/>
      <c r="C37" s="1099"/>
      <c r="D37" s="1100"/>
      <c r="E37" s="1101"/>
      <c r="F37" s="1101"/>
      <c r="G37" s="1102"/>
      <c r="H37" s="1102"/>
      <c r="I37" s="22"/>
    </row>
    <row r="38" spans="1:18" x14ac:dyDescent="0.25">
      <c r="A38" s="973"/>
      <c r="B38" s="22"/>
      <c r="C38" s="315" t="str">
        <f>IF(C9&gt;0,C9,"")</f>
        <v/>
      </c>
      <c r="D38" s="322" t="str">
        <f>IF($C9&gt;0,D9,"")</f>
        <v/>
      </c>
      <c r="E38" s="156" t="str">
        <f>IF($C9&gt;0,E9,"")</f>
        <v/>
      </c>
      <c r="F38" s="318" t="str">
        <f>IF($C9&gt;0,F9,"")</f>
        <v/>
      </c>
      <c r="G38" s="1103" t="str">
        <f>IF(C9&gt;0,G9,"")</f>
        <v/>
      </c>
      <c r="H38" s="1103"/>
      <c r="I38" s="22"/>
    </row>
    <row r="39" spans="1:18" x14ac:dyDescent="0.25">
      <c r="A39" s="973"/>
      <c r="C39" s="315" t="str">
        <f>IF(C10&gt;0,C10,"")</f>
        <v/>
      </c>
      <c r="D39" s="322" t="str">
        <f t="shared" ref="D39:F40" si="0">IF($C10&gt;0,D10,"")</f>
        <v/>
      </c>
      <c r="E39" s="156" t="str">
        <f t="shared" si="0"/>
        <v/>
      </c>
      <c r="F39" s="318" t="str">
        <f t="shared" si="0"/>
        <v/>
      </c>
      <c r="G39" s="1103" t="str">
        <f t="shared" ref="G39:G40" si="1">IF(C10&gt;0,G10,"")</f>
        <v/>
      </c>
      <c r="H39" s="1103"/>
    </row>
    <row r="40" spans="1:18" x14ac:dyDescent="0.25">
      <c r="A40" s="973"/>
      <c r="C40" s="315" t="str">
        <f>IF(C11&gt;0,C11,"")</f>
        <v/>
      </c>
      <c r="D40" s="322" t="str">
        <f t="shared" si="0"/>
        <v/>
      </c>
      <c r="E40" s="156" t="str">
        <f t="shared" si="0"/>
        <v/>
      </c>
      <c r="F40" s="318" t="str">
        <f t="shared" si="0"/>
        <v/>
      </c>
      <c r="G40" s="1103" t="str">
        <f t="shared" si="1"/>
        <v/>
      </c>
      <c r="H40" s="1103"/>
      <c r="J40" s="30"/>
    </row>
    <row r="41" spans="1:18" x14ac:dyDescent="0.25">
      <c r="A41" s="973"/>
      <c r="C41" s="319">
        <f>SUM(C38:C40)</f>
        <v>0</v>
      </c>
      <c r="D41" s="264"/>
      <c r="E41" s="317"/>
      <c r="F41" s="316"/>
      <c r="G41" s="316"/>
      <c r="H41" s="164"/>
      <c r="J41" s="30"/>
    </row>
    <row r="42" spans="1:18" x14ac:dyDescent="0.25">
      <c r="A42" s="973"/>
      <c r="C42" s="260"/>
      <c r="D42" s="301"/>
      <c r="E42" s="300"/>
      <c r="F42" s="260"/>
      <c r="G42" s="260"/>
      <c r="H42" s="45"/>
      <c r="J42" s="30"/>
    </row>
    <row r="43" spans="1:18" x14ac:dyDescent="0.25">
      <c r="A43" s="973"/>
      <c r="C43" s="260"/>
      <c r="D43" s="301"/>
      <c r="E43" s="300"/>
      <c r="F43" s="260"/>
      <c r="G43" s="260"/>
      <c r="H43" s="45"/>
      <c r="J43" s="30"/>
    </row>
    <row r="44" spans="1:18" x14ac:dyDescent="0.25">
      <c r="A44" s="973"/>
      <c r="C44" s="216"/>
      <c r="D44" s="320"/>
      <c r="E44" s="321"/>
      <c r="F44" s="216"/>
      <c r="G44" s="216"/>
      <c r="H44" s="261"/>
    </row>
    <row r="45" spans="1:18" x14ac:dyDescent="0.25">
      <c r="A45" s="973"/>
      <c r="C45" s="176"/>
      <c r="D45" s="303"/>
      <c r="E45" s="214"/>
      <c r="F45" s="178"/>
      <c r="G45" s="176"/>
      <c r="H45" s="155"/>
      <c r="K45" s="171"/>
    </row>
    <row r="46" spans="1:18" x14ac:dyDescent="0.25">
      <c r="A46" s="973"/>
      <c r="C46" s="154"/>
      <c r="D46" s="173"/>
      <c r="E46" s="260"/>
      <c r="F46" s="175"/>
      <c r="G46" s="154"/>
      <c r="H46" s="155"/>
      <c r="K46" s="171"/>
    </row>
    <row r="47" spans="1:18" s="3" customFormat="1" x14ac:dyDescent="0.25">
      <c r="A47" s="973"/>
      <c r="B47"/>
      <c r="C47" s="176"/>
      <c r="D47" s="177"/>
      <c r="E47" s="216"/>
      <c r="F47" s="178"/>
      <c r="G47" s="176"/>
      <c r="H47" s="179"/>
      <c r="I47"/>
      <c r="J47" s="33"/>
      <c r="K47" s="172"/>
      <c r="L47" s="148"/>
      <c r="M47" s="148"/>
      <c r="N47" s="269"/>
      <c r="O47" s="269"/>
      <c r="P47" s="269"/>
      <c r="Q47" s="269"/>
      <c r="R47" s="269"/>
    </row>
    <row r="48" spans="1:18" x14ac:dyDescent="0.25">
      <c r="A48" s="973"/>
      <c r="B48" s="3"/>
      <c r="C48" s="155" t="s">
        <v>64</v>
      </c>
      <c r="D48" s="45"/>
      <c r="E48" s="45"/>
      <c r="F48" s="170">
        <f>IF(F19&lt;&gt;0,ROUND(N12,2),0)</f>
        <v>0</v>
      </c>
      <c r="G48" s="156"/>
      <c r="H48" s="215"/>
      <c r="I48" s="3"/>
      <c r="K48" s="171"/>
    </row>
    <row r="49" spans="1:18" x14ac:dyDescent="0.25">
      <c r="A49" s="973"/>
      <c r="C49" s="155"/>
      <c r="D49" s="42"/>
      <c r="E49" s="185"/>
      <c r="F49" s="186"/>
      <c r="G49" s="42"/>
      <c r="H49" s="45"/>
    </row>
    <row r="50" spans="1:18" x14ac:dyDescent="0.25">
      <c r="A50" s="973"/>
      <c r="C50" s="155" t="str">
        <f>IF(N15&gt;0,"Nebenkosten:","")</f>
        <v/>
      </c>
      <c r="D50" s="45"/>
      <c r="E50" s="45"/>
      <c r="F50" s="170" t="str">
        <f>IF(N15&gt;0,ROUND(N15,2),"")</f>
        <v/>
      </c>
      <c r="G50" s="45"/>
      <c r="H50" s="45"/>
    </row>
    <row r="51" spans="1:18" x14ac:dyDescent="0.25">
      <c r="A51" s="973"/>
      <c r="C51" s="221"/>
      <c r="D51" s="221"/>
      <c r="E51" s="221"/>
      <c r="F51" s="222"/>
      <c r="G51" s="221"/>
      <c r="H51" s="221"/>
    </row>
    <row r="52" spans="1:18" x14ac:dyDescent="0.25">
      <c r="A52" s="973"/>
      <c r="C52" s="45" t="str">
        <f>IF(E18&gt;0,"Nebenkosten:","")</f>
        <v/>
      </c>
      <c r="D52" s="45"/>
      <c r="E52" s="45"/>
      <c r="F52" s="170" t="str">
        <f>IF(E18&gt;0,ROUND(E18,2),"")</f>
        <v/>
      </c>
      <c r="G52" s="45"/>
      <c r="H52" s="45"/>
    </row>
    <row r="53" spans="1:18" ht="15.75" x14ac:dyDescent="0.25">
      <c r="A53" s="973"/>
      <c r="C53" s="445" t="s">
        <v>71</v>
      </c>
      <c r="D53" s="159"/>
      <c r="E53" s="159"/>
      <c r="F53" s="165"/>
      <c r="G53" s="967">
        <f>IF(F19=1,SUM(F47:F51),0)</f>
        <v>0</v>
      </c>
      <c r="H53" s="967"/>
    </row>
    <row r="54" spans="1:18" s="15" customFormat="1" ht="15.75" x14ac:dyDescent="0.25">
      <c r="A54" s="973"/>
      <c r="B54"/>
      <c r="C54" s="135" t="str">
        <f>IF(O15&lt;&gt;0,"ohne Höhenschichtenlinien (-10%):","")</f>
        <v/>
      </c>
      <c r="D54" s="45"/>
      <c r="E54" s="154"/>
      <c r="F54" s="170" t="str">
        <f>IF(O15&lt;&gt;0,ROUND(O15,2),"")</f>
        <v/>
      </c>
      <c r="G54" s="45"/>
      <c r="H54" s="45"/>
      <c r="I54"/>
      <c r="J54" s="166"/>
      <c r="K54" s="167"/>
      <c r="L54" s="168"/>
      <c r="M54" s="168"/>
      <c r="N54" s="270"/>
      <c r="O54" s="270"/>
      <c r="P54" s="270"/>
      <c r="Q54" s="270"/>
      <c r="R54" s="270"/>
    </row>
    <row r="55" spans="1:18" ht="15.75" x14ac:dyDescent="0.25">
      <c r="A55" s="973"/>
      <c r="B55" s="15"/>
      <c r="C55" s="47" t="str">
        <f>IF(O16&lt;&gt;0,"Höhenkoten nicht freistellen (-5%):","")</f>
        <v/>
      </c>
      <c r="D55" s="215"/>
      <c r="E55" s="176"/>
      <c r="F55" s="223" t="str">
        <f>IF(O16&lt;&gt;0,ROUND(O16,2),"")</f>
        <v/>
      </c>
      <c r="G55" s="215"/>
      <c r="H55" s="215"/>
      <c r="I55" s="15"/>
    </row>
    <row r="56" spans="1:18" x14ac:dyDescent="0.25">
      <c r="A56" s="973"/>
      <c r="C56" s="215"/>
      <c r="D56" s="215"/>
      <c r="E56" s="215"/>
      <c r="F56" s="215"/>
      <c r="G56" s="215"/>
      <c r="H56" s="215"/>
    </row>
    <row r="57" spans="1:18" ht="15.75" x14ac:dyDescent="0.25">
      <c r="A57" s="973"/>
      <c r="C57" s="15"/>
      <c r="D57" s="159"/>
      <c r="E57" s="159"/>
      <c r="F57" s="165"/>
      <c r="G57" s="966"/>
      <c r="H57" s="966"/>
    </row>
    <row r="58" spans="1:18" x14ac:dyDescent="0.25">
      <c r="A58" s="973"/>
      <c r="C58" s="45"/>
      <c r="D58" s="45"/>
      <c r="E58" s="45"/>
      <c r="F58" s="154"/>
      <c r="G58" s="45"/>
      <c r="H58" s="45"/>
    </row>
    <row r="59" spans="1:18" x14ac:dyDescent="0.25">
      <c r="A59" s="973"/>
      <c r="C59" s="45"/>
      <c r="D59" s="45"/>
      <c r="E59" s="160"/>
      <c r="F59" s="158"/>
      <c r="G59" s="155"/>
      <c r="H59" s="45"/>
    </row>
    <row r="60" spans="1:18" s="25" customFormat="1" ht="15.75" x14ac:dyDescent="0.25">
      <c r="A60" s="973"/>
      <c r="B60"/>
      <c r="C60" s="45"/>
      <c r="D60" s="45"/>
      <c r="E60" s="45"/>
      <c r="F60" s="154"/>
      <c r="G60" s="155"/>
      <c r="H60" s="45"/>
      <c r="I60"/>
      <c r="J60" s="31"/>
      <c r="K60" s="150"/>
      <c r="L60" s="151"/>
      <c r="M60" s="151"/>
      <c r="N60" s="271"/>
      <c r="O60" s="271"/>
      <c r="P60" s="271"/>
      <c r="Q60" s="271"/>
      <c r="R60" s="271"/>
    </row>
    <row r="61" spans="1:18" ht="15.75" x14ac:dyDescent="0.25">
      <c r="A61" s="973"/>
      <c r="B61" s="25"/>
      <c r="C61" s="45"/>
      <c r="D61" s="45"/>
      <c r="E61" s="45"/>
      <c r="F61" s="158"/>
      <c r="G61" s="155"/>
      <c r="H61" s="45"/>
      <c r="I61" s="25"/>
    </row>
    <row r="62" spans="1:18" x14ac:dyDescent="0.25">
      <c r="A62" s="973"/>
      <c r="C62" s="45"/>
      <c r="D62" s="45"/>
      <c r="E62" s="45"/>
      <c r="F62" s="45"/>
      <c r="G62" s="45"/>
      <c r="H62" s="45"/>
    </row>
    <row r="63" spans="1:18" x14ac:dyDescent="0.25">
      <c r="A63" s="973"/>
      <c r="C63" s="45"/>
      <c r="D63" s="45"/>
      <c r="E63" s="45"/>
      <c r="F63" s="45"/>
      <c r="G63" s="45"/>
      <c r="H63" s="45"/>
    </row>
    <row r="64" spans="1:18" x14ac:dyDescent="0.25">
      <c r="A64" s="973"/>
      <c r="C64" s="161"/>
      <c r="D64" s="161"/>
      <c r="E64" s="161"/>
      <c r="F64" s="161"/>
      <c r="G64" s="161"/>
      <c r="H64" s="162"/>
    </row>
    <row r="65" spans="1:8" x14ac:dyDescent="0.25">
      <c r="A65" s="973"/>
      <c r="C65" s="45"/>
      <c r="D65" s="45"/>
      <c r="E65" s="45"/>
      <c r="F65" s="45"/>
      <c r="G65" s="45"/>
      <c r="H65" s="45"/>
    </row>
    <row r="66" spans="1:8" x14ac:dyDescent="0.25">
      <c r="A66" s="973"/>
    </row>
    <row r="67" spans="1:8" x14ac:dyDescent="0.25">
      <c r="A67" s="973"/>
    </row>
    <row r="68" spans="1:8" x14ac:dyDescent="0.25">
      <c r="A68" s="973"/>
    </row>
  </sheetData>
  <mergeCells count="26">
    <mergeCell ref="A21:A68"/>
    <mergeCell ref="B22:I22"/>
    <mergeCell ref="B23:I23"/>
    <mergeCell ref="B24:I24"/>
    <mergeCell ref="B25:I25"/>
    <mergeCell ref="B27:I27"/>
    <mergeCell ref="C36:C37"/>
    <mergeCell ref="D36:D37"/>
    <mergeCell ref="E36:F37"/>
    <mergeCell ref="G36:H37"/>
    <mergeCell ref="G38:H38"/>
    <mergeCell ref="G53:H53"/>
    <mergeCell ref="G57:H57"/>
    <mergeCell ref="G39:H39"/>
    <mergeCell ref="G40:H40"/>
    <mergeCell ref="A1:A20"/>
    <mergeCell ref="D2:H2"/>
    <mergeCell ref="D3:H3"/>
    <mergeCell ref="C7:C8"/>
    <mergeCell ref="D7:D8"/>
    <mergeCell ref="G19:H19"/>
    <mergeCell ref="E7:F8"/>
    <mergeCell ref="G10:H10"/>
    <mergeCell ref="G11:H11"/>
    <mergeCell ref="G9:H9"/>
    <mergeCell ref="G7:H8"/>
  </mergeCell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Konstante!$J$128:$J$130</xm:f>
          </x14:formula1>
          <xm:sqref>G9:G11</xm:sqref>
        </x14:dataValidation>
        <x14:dataValidation type="list" allowBlank="1" showInputMessage="1" showErrorMessage="1">
          <x14:formula1>
            <xm:f>Konstante!$C$128:$C$130</xm:f>
          </x14:formula1>
          <xm:sqref>D9:D11</xm:sqref>
        </x14:dataValidation>
        <x14:dataValidation type="list" allowBlank="1" showInputMessage="1" showErrorMessage="1">
          <x14:formula1>
            <xm:f>Konstante!$F$128:$F$133</xm:f>
          </x14:formula1>
          <xm:sqref>E9:E11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workbookViewId="0">
      <selection activeCell="G4" sqref="G4:H4"/>
    </sheetView>
  </sheetViews>
  <sheetFormatPr baseColWidth="10" defaultRowHeight="15" x14ac:dyDescent="0.25"/>
  <cols>
    <col min="1" max="1" width="4" style="611" customWidth="1"/>
    <col min="2" max="2" width="5.140625" style="611" customWidth="1"/>
    <col min="3" max="8" width="12.7109375" style="611" customWidth="1"/>
    <col min="9" max="9" width="5.140625" style="611" customWidth="1"/>
    <col min="10" max="16384" width="11.42578125" style="611"/>
  </cols>
  <sheetData>
    <row r="1" spans="1:16" s="567" customFormat="1" ht="15.75" customHeight="1" x14ac:dyDescent="0.25">
      <c r="A1" s="1114" t="s">
        <v>35</v>
      </c>
      <c r="B1" s="566"/>
      <c r="C1" s="566"/>
      <c r="D1" s="566"/>
      <c r="E1" s="566"/>
      <c r="F1" s="566"/>
      <c r="G1" s="566"/>
      <c r="H1" s="566"/>
      <c r="I1" s="566"/>
      <c r="K1" s="137" t="s">
        <v>792</v>
      </c>
      <c r="L1" s="137"/>
      <c r="M1" s="137"/>
      <c r="N1" s="210">
        <f ca="1">CELL("ZEILE",B57)</f>
        <v>57</v>
      </c>
    </row>
    <row r="2" spans="1:16" s="567" customFormat="1" ht="23.25" x14ac:dyDescent="0.25">
      <c r="A2" s="1114"/>
      <c r="B2" s="568"/>
      <c r="C2" s="569" t="s">
        <v>36</v>
      </c>
      <c r="D2" s="1115" t="s">
        <v>503</v>
      </c>
      <c r="E2" s="1116"/>
      <c r="F2" s="1116"/>
      <c r="G2" s="1116"/>
      <c r="H2" s="1117"/>
      <c r="I2" s="566"/>
      <c r="K2" s="268" t="s">
        <v>793</v>
      </c>
      <c r="L2" s="236"/>
      <c r="M2" s="236"/>
      <c r="N2" s="268">
        <f ca="1">CELL("ZEILE",G110)</f>
        <v>110</v>
      </c>
    </row>
    <row r="3" spans="1:16" s="567" customFormat="1" ht="23.25" x14ac:dyDescent="0.25">
      <c r="A3" s="1114"/>
      <c r="B3" s="568"/>
      <c r="C3" s="569"/>
      <c r="D3" s="570"/>
      <c r="E3" s="571"/>
      <c r="F3" s="571"/>
      <c r="G3" s="571"/>
      <c r="H3" s="572"/>
      <c r="I3" s="566"/>
      <c r="K3" s="268" t="s">
        <v>794</v>
      </c>
      <c r="L3" s="236"/>
      <c r="M3" s="236"/>
      <c r="N3" s="268">
        <f>F49</f>
        <v>0</v>
      </c>
    </row>
    <row r="4" spans="1:16" s="567" customFormat="1" ht="15.75" x14ac:dyDescent="0.25">
      <c r="A4" s="1114"/>
      <c r="B4" s="568"/>
      <c r="C4" s="573" t="s">
        <v>502</v>
      </c>
      <c r="D4" s="574"/>
      <c r="E4" s="574"/>
      <c r="F4" s="574"/>
      <c r="G4" s="1130"/>
      <c r="H4" s="1131"/>
      <c r="I4" s="566"/>
    </row>
    <row r="5" spans="1:16" s="567" customFormat="1" ht="15.75" x14ac:dyDescent="0.25">
      <c r="A5" s="1114"/>
      <c r="B5" s="568"/>
      <c r="C5" s="575"/>
      <c r="D5" s="574"/>
      <c r="E5" s="574"/>
      <c r="F5" s="574"/>
      <c r="G5" s="574"/>
      <c r="H5" s="574"/>
      <c r="I5" s="566"/>
    </row>
    <row r="6" spans="1:16" s="567" customFormat="1" ht="15.75" x14ac:dyDescent="0.25">
      <c r="A6" s="1114"/>
      <c r="B6" s="568"/>
      <c r="C6" s="578" t="s">
        <v>501</v>
      </c>
      <c r="D6" s="574"/>
      <c r="E6" s="574"/>
      <c r="F6" s="574"/>
      <c r="G6" s="579"/>
      <c r="H6" s="580" t="s">
        <v>578</v>
      </c>
      <c r="I6" s="566"/>
    </row>
    <row r="7" spans="1:16" s="567" customFormat="1" ht="8.25" customHeight="1" x14ac:dyDescent="0.25">
      <c r="A7" s="1114"/>
      <c r="B7" s="568"/>
      <c r="C7" s="575"/>
      <c r="D7" s="574"/>
      <c r="E7" s="574"/>
      <c r="F7" s="574"/>
      <c r="G7" s="574"/>
      <c r="H7" s="869"/>
      <c r="I7" s="566"/>
    </row>
    <row r="8" spans="1:16" s="567" customFormat="1" ht="15.75" x14ac:dyDescent="0.25">
      <c r="A8" s="1114"/>
      <c r="B8" s="568"/>
      <c r="C8" s="573" t="s">
        <v>461</v>
      </c>
      <c r="D8" s="574"/>
      <c r="E8" s="574"/>
      <c r="F8" s="574"/>
      <c r="G8" s="574"/>
      <c r="H8" s="576" t="str">
        <f>IF(VSK1_&lt;&gt;0,H70,"")</f>
        <v/>
      </c>
      <c r="I8" s="577"/>
    </row>
    <row r="9" spans="1:16" s="567" customFormat="1" ht="15.75" x14ac:dyDescent="0.25">
      <c r="A9" s="1114"/>
      <c r="B9" s="568"/>
      <c r="C9" s="578" t="s">
        <v>500</v>
      </c>
      <c r="D9" s="574"/>
      <c r="E9" s="579"/>
      <c r="F9" s="579"/>
      <c r="G9" s="581" t="s">
        <v>306</v>
      </c>
      <c r="H9" s="582"/>
      <c r="I9" s="566"/>
    </row>
    <row r="10" spans="1:16" s="567" customFormat="1" ht="15.75" x14ac:dyDescent="0.25">
      <c r="A10" s="1114"/>
      <c r="B10" s="568"/>
      <c r="C10" s="583" t="s">
        <v>483</v>
      </c>
      <c r="D10" s="584"/>
      <c r="E10" s="585"/>
      <c r="F10" s="586" t="s">
        <v>499</v>
      </c>
      <c r="G10" s="1109" t="s">
        <v>557</v>
      </c>
      <c r="H10" s="1110"/>
      <c r="I10" s="566"/>
    </row>
    <row r="11" spans="1:16" s="567" customFormat="1" ht="15.75" x14ac:dyDescent="0.25">
      <c r="A11" s="1114"/>
      <c r="B11" s="568"/>
      <c r="C11" s="1111" t="s">
        <v>581</v>
      </c>
      <c r="D11" s="1113"/>
      <c r="E11" s="1113"/>
      <c r="F11" s="1113"/>
      <c r="G11" s="1113"/>
      <c r="H11" s="1112"/>
      <c r="I11" s="566"/>
    </row>
    <row r="12" spans="1:16" s="567" customFormat="1" ht="15.75" x14ac:dyDescent="0.25">
      <c r="A12" s="1114"/>
      <c r="B12" s="568"/>
      <c r="C12" s="578" t="s">
        <v>496</v>
      </c>
      <c r="D12" s="569"/>
      <c r="E12" s="587"/>
      <c r="F12" s="587"/>
      <c r="G12" s="1111" t="s">
        <v>568</v>
      </c>
      <c r="H12" s="1112"/>
      <c r="I12" s="566"/>
      <c r="K12" s="588"/>
      <c r="L12" s="588"/>
      <c r="M12" s="588"/>
      <c r="N12" s="588"/>
      <c r="O12" s="588"/>
      <c r="P12" s="588"/>
    </row>
    <row r="13" spans="1:16" s="567" customFormat="1" ht="15.75" x14ac:dyDescent="0.25">
      <c r="A13" s="1114"/>
      <c r="B13" s="568"/>
      <c r="C13" s="578" t="s">
        <v>494</v>
      </c>
      <c r="D13" s="569"/>
      <c r="E13" s="589">
        <v>0.05</v>
      </c>
      <c r="F13" s="1111" t="s">
        <v>703</v>
      </c>
      <c r="G13" s="1113"/>
      <c r="H13" s="1112"/>
      <c r="I13" s="566"/>
      <c r="K13" s="588"/>
      <c r="L13" s="590"/>
      <c r="M13" s="591"/>
      <c r="N13" s="588"/>
      <c r="O13" s="588"/>
      <c r="P13" s="588"/>
    </row>
    <row r="14" spans="1:16" s="567" customFormat="1" ht="15.75" x14ac:dyDescent="0.25">
      <c r="A14" s="1114"/>
      <c r="B14" s="568"/>
      <c r="C14" s="592" t="str">
        <f>IF(C11=Konstante!F152,"   Für diesen Fall keine Formel! &gt; Bearbeitungsaufwand nach Zeitaufwand!","")</f>
        <v/>
      </c>
      <c r="D14" s="569"/>
      <c r="E14" s="593"/>
      <c r="F14" s="593"/>
      <c r="G14" s="593"/>
      <c r="H14" s="581"/>
      <c r="I14" s="566"/>
      <c r="K14" s="588"/>
      <c r="L14" s="588"/>
      <c r="M14" s="588"/>
      <c r="N14" s="588"/>
      <c r="O14" s="588"/>
      <c r="P14" s="588"/>
    </row>
    <row r="15" spans="1:16" s="567" customFormat="1" ht="15.75" x14ac:dyDescent="0.25">
      <c r="A15" s="1114"/>
      <c r="B15" s="568"/>
      <c r="C15" s="573" t="s">
        <v>454</v>
      </c>
      <c r="D15" s="569"/>
      <c r="E15" s="593"/>
      <c r="F15" s="593"/>
      <c r="G15" s="593"/>
      <c r="H15" s="576" t="str">
        <f>IF(VSK2_&lt;&gt;0,H75,"")</f>
        <v/>
      </c>
      <c r="I15" s="568"/>
      <c r="K15" s="588"/>
      <c r="L15" s="588"/>
      <c r="M15" s="594"/>
      <c r="N15" s="588"/>
      <c r="O15" s="588"/>
      <c r="P15" s="588"/>
    </row>
    <row r="16" spans="1:16" s="567" customFormat="1" ht="15.75" x14ac:dyDescent="0.25">
      <c r="A16" s="1114"/>
      <c r="B16" s="566"/>
      <c r="C16" s="578" t="s">
        <v>493</v>
      </c>
      <c r="D16" s="569"/>
      <c r="E16" s="593"/>
      <c r="F16" s="593"/>
      <c r="G16" s="593"/>
      <c r="H16" s="595" t="s">
        <v>563</v>
      </c>
      <c r="I16" s="568"/>
      <c r="K16" s="588"/>
      <c r="L16" s="588"/>
      <c r="M16" s="594"/>
      <c r="N16" s="588"/>
      <c r="O16" s="588"/>
      <c r="P16" s="588"/>
    </row>
    <row r="17" spans="1:16" s="567" customFormat="1" ht="15.75" x14ac:dyDescent="0.25">
      <c r="A17" s="1114"/>
      <c r="B17" s="568"/>
      <c r="C17" s="578" t="s">
        <v>491</v>
      </c>
      <c r="D17" s="569"/>
      <c r="E17" s="593"/>
      <c r="F17" s="593"/>
      <c r="G17" s="696" t="str">
        <f>IF(AND(H16="automatisch",H17&lt;10),"sollte &gt;= 10 sein!","")</f>
        <v/>
      </c>
      <c r="H17" s="697"/>
      <c r="I17" s="569"/>
      <c r="K17" s="588"/>
      <c r="L17" s="588"/>
      <c r="M17" s="594"/>
      <c r="N17" s="588"/>
      <c r="O17" s="588"/>
      <c r="P17" s="588"/>
    </row>
    <row r="18" spans="1:16" s="567" customFormat="1" ht="15.75" x14ac:dyDescent="0.25">
      <c r="A18" s="1114"/>
      <c r="B18" s="568"/>
      <c r="C18" s="569"/>
      <c r="D18" s="569"/>
      <c r="E18" s="593"/>
      <c r="F18" s="593"/>
      <c r="G18" s="593"/>
      <c r="H18" s="596"/>
      <c r="I18" s="569"/>
      <c r="K18" s="588"/>
      <c r="L18" s="588"/>
      <c r="M18" s="594"/>
      <c r="N18" s="588"/>
      <c r="O18" s="588"/>
      <c r="P18" s="588"/>
    </row>
    <row r="19" spans="1:16" s="567" customFormat="1" ht="15.75" x14ac:dyDescent="0.25">
      <c r="A19" s="1114"/>
      <c r="B19" s="568"/>
      <c r="C19" s="573" t="s">
        <v>490</v>
      </c>
      <c r="D19" s="569"/>
      <c r="E19" s="593"/>
      <c r="F19" s="593"/>
      <c r="G19" s="593"/>
      <c r="H19" s="596"/>
      <c r="I19" s="569"/>
      <c r="K19" s="588"/>
      <c r="L19" s="588"/>
      <c r="M19" s="594"/>
      <c r="N19" s="588"/>
      <c r="O19" s="588"/>
      <c r="P19" s="588"/>
    </row>
    <row r="20" spans="1:16" s="567" customFormat="1" ht="15.75" x14ac:dyDescent="0.25">
      <c r="A20" s="1114"/>
      <c r="B20" s="568"/>
      <c r="C20" s="597" t="s">
        <v>489</v>
      </c>
      <c r="D20" s="569"/>
      <c r="E20" s="593"/>
      <c r="F20" s="593"/>
      <c r="G20" s="593"/>
      <c r="H20" s="576" t="str">
        <f>IF(VSK3_&lt;&gt;0,H81,"")</f>
        <v/>
      </c>
      <c r="I20" s="569"/>
      <c r="K20" s="588"/>
      <c r="L20" s="588"/>
      <c r="M20" s="594"/>
      <c r="N20" s="588"/>
      <c r="O20" s="588"/>
      <c r="P20" s="588"/>
    </row>
    <row r="21" spans="1:16" s="567" customFormat="1" ht="15.75" x14ac:dyDescent="0.25">
      <c r="A21" s="1114"/>
      <c r="B21" s="568"/>
      <c r="C21" s="578" t="s">
        <v>488</v>
      </c>
      <c r="D21" s="569"/>
      <c r="E21" s="593"/>
      <c r="F21" s="593"/>
      <c r="G21" s="581"/>
      <c r="H21" s="582"/>
      <c r="I21" s="569"/>
      <c r="K21" s="588"/>
      <c r="L21" s="588"/>
      <c r="M21" s="594"/>
      <c r="N21" s="588"/>
      <c r="O21" s="588"/>
      <c r="P21" s="588"/>
    </row>
    <row r="22" spans="1:16" s="567" customFormat="1" ht="15.75" x14ac:dyDescent="0.25">
      <c r="A22" s="1114"/>
      <c r="B22" s="568"/>
      <c r="C22" s="597" t="s">
        <v>446</v>
      </c>
      <c r="D22" s="569"/>
      <c r="E22" s="593"/>
      <c r="F22" s="593"/>
      <c r="G22" s="593"/>
      <c r="H22" s="576" t="str">
        <f>IF(VSK4_&lt;&gt;0,H95,"")</f>
        <v/>
      </c>
      <c r="I22" s="569"/>
      <c r="K22" s="588"/>
      <c r="L22" s="588"/>
      <c r="M22" s="594"/>
      <c r="N22" s="588"/>
      <c r="O22" s="588"/>
      <c r="P22" s="588"/>
    </row>
    <row r="23" spans="1:16" s="567" customFormat="1" ht="15.75" x14ac:dyDescent="0.25">
      <c r="A23" s="1114"/>
      <c r="B23" s="568"/>
      <c r="C23" s="578" t="s">
        <v>487</v>
      </c>
      <c r="D23" s="569"/>
      <c r="E23" s="598"/>
      <c r="F23" s="1122" t="s">
        <v>588</v>
      </c>
      <c r="G23" s="1123"/>
      <c r="H23" s="1124"/>
      <c r="I23" s="569"/>
      <c r="K23" s="588"/>
      <c r="L23" s="588"/>
      <c r="M23" s="594"/>
      <c r="N23" s="588"/>
      <c r="O23" s="588"/>
      <c r="P23" s="588"/>
    </row>
    <row r="24" spans="1:16" s="567" customFormat="1" ht="15.75" x14ac:dyDescent="0.25">
      <c r="A24" s="1114"/>
      <c r="B24" s="568"/>
      <c r="C24" s="578" t="s">
        <v>485</v>
      </c>
      <c r="D24" s="569"/>
      <c r="E24" s="1122" t="s">
        <v>484</v>
      </c>
      <c r="F24" s="1123"/>
      <c r="G24" s="1123"/>
      <c r="H24" s="1124"/>
      <c r="I24" s="569"/>
      <c r="K24" s="588"/>
      <c r="L24" s="588"/>
      <c r="M24" s="594"/>
      <c r="N24" s="588"/>
      <c r="O24" s="588"/>
      <c r="P24" s="588"/>
    </row>
    <row r="25" spans="1:16" s="567" customFormat="1" ht="6.75" customHeight="1" x14ac:dyDescent="0.25">
      <c r="A25" s="1114"/>
      <c r="B25" s="568"/>
      <c r="C25" s="578"/>
      <c r="D25" s="569"/>
      <c r="E25" s="870"/>
      <c r="F25" s="871"/>
      <c r="G25" s="871"/>
      <c r="H25" s="872"/>
      <c r="I25" s="569"/>
      <c r="K25" s="588"/>
      <c r="L25" s="588"/>
      <c r="M25" s="594"/>
      <c r="N25" s="588"/>
      <c r="O25" s="588"/>
      <c r="P25" s="588"/>
    </row>
    <row r="26" spans="1:16" s="567" customFormat="1" ht="21.75" customHeight="1" x14ac:dyDescent="0.25">
      <c r="A26" s="1114"/>
      <c r="B26" s="568"/>
      <c r="C26" s="882" t="s">
        <v>834</v>
      </c>
      <c r="D26" s="569"/>
      <c r="E26" s="881" t="s">
        <v>848</v>
      </c>
      <c r="F26" s="1128" t="s">
        <v>849</v>
      </c>
      <c r="G26" s="1129"/>
      <c r="H26" s="883" t="s">
        <v>835</v>
      </c>
      <c r="I26" s="569"/>
      <c r="K26" s="588"/>
      <c r="L26" s="588"/>
      <c r="M26" s="594"/>
      <c r="N26" s="588"/>
      <c r="O26" s="588"/>
      <c r="P26" s="588"/>
    </row>
    <row r="27" spans="1:16" s="567" customFormat="1" ht="18" x14ac:dyDescent="0.25">
      <c r="A27" s="1114"/>
      <c r="B27" s="880" t="s">
        <v>845</v>
      </c>
      <c r="C27" s="1125" t="s">
        <v>558</v>
      </c>
      <c r="D27" s="1126"/>
      <c r="E27" s="1126"/>
      <c r="F27" s="1126"/>
      <c r="G27" s="1127"/>
      <c r="H27" s="599">
        <v>0</v>
      </c>
      <c r="I27" s="569"/>
      <c r="K27" s="588"/>
      <c r="L27" s="588"/>
      <c r="M27" s="594"/>
      <c r="N27" s="588"/>
      <c r="O27" s="588"/>
      <c r="P27" s="588"/>
    </row>
    <row r="28" spans="1:16" s="567" customFormat="1" ht="15.75" x14ac:dyDescent="0.25">
      <c r="A28" s="1114"/>
      <c r="B28" s="568"/>
      <c r="C28" s="578" t="s">
        <v>480</v>
      </c>
      <c r="D28" s="569"/>
      <c r="E28" s="589"/>
      <c r="F28" s="1106"/>
      <c r="G28" s="1107"/>
      <c r="H28" s="1108"/>
      <c r="I28" s="569"/>
      <c r="K28" s="588"/>
      <c r="L28" s="588"/>
      <c r="M28" s="594"/>
      <c r="N28" s="588"/>
      <c r="O28" s="588"/>
      <c r="P28" s="588"/>
    </row>
    <row r="29" spans="1:16" s="567" customFormat="1" ht="4.5" customHeight="1" x14ac:dyDescent="0.25">
      <c r="A29" s="1114"/>
      <c r="B29" s="568"/>
      <c r="C29" s="578"/>
      <c r="D29" s="569"/>
      <c r="E29" s="569"/>
      <c r="F29" s="569"/>
      <c r="G29" s="569"/>
      <c r="H29" s="569"/>
      <c r="I29" s="569"/>
      <c r="K29" s="588"/>
      <c r="L29" s="588"/>
      <c r="M29" s="594"/>
      <c r="N29" s="588"/>
      <c r="O29" s="588"/>
      <c r="P29" s="588"/>
    </row>
    <row r="30" spans="1:16" s="567" customFormat="1" ht="18" x14ac:dyDescent="0.25">
      <c r="A30" s="1114"/>
      <c r="B30" s="880" t="s">
        <v>846</v>
      </c>
      <c r="C30" s="1125" t="s">
        <v>558</v>
      </c>
      <c r="D30" s="1126"/>
      <c r="E30" s="1126"/>
      <c r="F30" s="1126"/>
      <c r="G30" s="1127"/>
      <c r="H30" s="599">
        <v>0</v>
      </c>
      <c r="I30" s="569"/>
      <c r="K30" s="588"/>
      <c r="L30" s="588"/>
      <c r="M30" s="594"/>
      <c r="N30" s="588"/>
      <c r="O30" s="588"/>
      <c r="P30" s="588"/>
    </row>
    <row r="31" spans="1:16" s="567" customFormat="1" ht="15.75" x14ac:dyDescent="0.25">
      <c r="A31" s="1114"/>
      <c r="B31" s="568"/>
      <c r="C31" s="578" t="s">
        <v>480</v>
      </c>
      <c r="D31" s="569"/>
      <c r="E31" s="589"/>
      <c r="F31" s="1106"/>
      <c r="G31" s="1107"/>
      <c r="H31" s="1108"/>
      <c r="I31" s="569"/>
      <c r="K31" s="588"/>
      <c r="L31" s="588"/>
      <c r="M31" s="594"/>
      <c r="N31" s="588"/>
      <c r="O31" s="588"/>
      <c r="P31" s="588"/>
    </row>
    <row r="32" spans="1:16" s="567" customFormat="1" ht="5.25" customHeight="1" x14ac:dyDescent="0.25">
      <c r="A32" s="1114"/>
      <c r="B32" s="568"/>
      <c r="C32" s="578"/>
      <c r="D32" s="569"/>
      <c r="E32" s="569"/>
      <c r="F32" s="569"/>
      <c r="G32" s="569"/>
      <c r="H32" s="569"/>
      <c r="I32" s="569"/>
      <c r="K32" s="588"/>
      <c r="L32" s="588"/>
      <c r="M32" s="594"/>
      <c r="N32" s="588"/>
      <c r="O32" s="588"/>
      <c r="P32" s="588"/>
    </row>
    <row r="33" spans="1:17" s="567" customFormat="1" ht="18" x14ac:dyDescent="0.25">
      <c r="A33" s="1114"/>
      <c r="B33" s="880" t="s">
        <v>847</v>
      </c>
      <c r="C33" s="1125" t="s">
        <v>558</v>
      </c>
      <c r="D33" s="1126"/>
      <c r="E33" s="1126"/>
      <c r="F33" s="1126"/>
      <c r="G33" s="1127"/>
      <c r="H33" s="599">
        <v>0</v>
      </c>
      <c r="I33" s="569"/>
      <c r="K33" s="588"/>
      <c r="L33" s="588"/>
      <c r="M33" s="594"/>
      <c r="N33" s="588"/>
      <c r="O33" s="588"/>
      <c r="P33" s="588"/>
    </row>
    <row r="34" spans="1:17" s="567" customFormat="1" ht="15.75" x14ac:dyDescent="0.25">
      <c r="A34" s="1114"/>
      <c r="B34" s="568"/>
      <c r="C34" s="578" t="s">
        <v>480</v>
      </c>
      <c r="D34" s="569"/>
      <c r="E34" s="589"/>
      <c r="F34" s="1106"/>
      <c r="G34" s="1107"/>
      <c r="H34" s="1108"/>
      <c r="I34" s="569"/>
      <c r="K34" s="588"/>
      <c r="L34" s="588"/>
      <c r="M34" s="594"/>
      <c r="N34" s="588"/>
      <c r="O34" s="588"/>
      <c r="P34" s="588"/>
    </row>
    <row r="35" spans="1:17" s="567" customFormat="1" ht="7.5" customHeight="1" x14ac:dyDescent="0.25">
      <c r="A35" s="1114"/>
      <c r="B35" s="568"/>
      <c r="C35" s="699"/>
      <c r="D35" s="569"/>
      <c r="E35" s="593"/>
      <c r="F35" s="593"/>
      <c r="G35" s="581"/>
      <c r="H35" s="576" t="str">
        <f>IF(VSK5_&lt;&gt;0,H102,"")</f>
        <v/>
      </c>
      <c r="I35" s="569"/>
      <c r="K35" s="588"/>
      <c r="L35" s="588"/>
      <c r="M35" s="594"/>
      <c r="N35" s="588"/>
      <c r="O35" s="588"/>
      <c r="P35" s="588"/>
    </row>
    <row r="36" spans="1:17" s="567" customFormat="1" ht="15.75" x14ac:dyDescent="0.25">
      <c r="A36" s="1114"/>
      <c r="B36" s="568"/>
      <c r="C36" s="597" t="s">
        <v>479</v>
      </c>
      <c r="D36" s="569"/>
      <c r="E36" s="593"/>
      <c r="F36" s="593"/>
      <c r="G36" s="593"/>
      <c r="H36" s="576" t="str">
        <f>IF(VSK5_&lt;&gt;0,H105,"")</f>
        <v/>
      </c>
      <c r="I36" s="569"/>
      <c r="K36" s="588"/>
      <c r="L36" s="588"/>
      <c r="M36" s="594"/>
      <c r="N36" s="588"/>
      <c r="O36" s="588"/>
      <c r="P36" s="588"/>
    </row>
    <row r="37" spans="1:17" s="567" customFormat="1" ht="15.75" x14ac:dyDescent="0.25">
      <c r="A37" s="1114"/>
      <c r="B37" s="568"/>
      <c r="C37" s="578" t="s">
        <v>478</v>
      </c>
      <c r="D37" s="569"/>
      <c r="E37" s="593"/>
      <c r="F37" s="581"/>
      <c r="G37" s="581"/>
      <c r="H37" s="582"/>
      <c r="I37" s="569"/>
      <c r="K37" s="588"/>
      <c r="L37" s="588"/>
      <c r="M37" s="594"/>
      <c r="N37" s="588"/>
      <c r="O37" s="588"/>
      <c r="P37" s="588"/>
    </row>
    <row r="38" spans="1:17" s="567" customFormat="1" ht="15.75" x14ac:dyDescent="0.25">
      <c r="A38" s="1114"/>
      <c r="B38" s="568"/>
      <c r="C38" s="578" t="s">
        <v>477</v>
      </c>
      <c r="D38" s="569"/>
      <c r="E38" s="593"/>
      <c r="F38" s="1104" t="s">
        <v>476</v>
      </c>
      <c r="G38" s="1105"/>
      <c r="H38" s="600">
        <f>VLOOKUP(F38,Konstante!AG148:AI149,3,FALSE)</f>
        <v>0</v>
      </c>
      <c r="I38" s="569"/>
      <c r="K38" s="588"/>
      <c r="L38" s="588"/>
      <c r="M38" s="594"/>
      <c r="N38" s="588"/>
      <c r="O38" s="588"/>
      <c r="P38" s="588"/>
    </row>
    <row r="39" spans="1:17" s="567" customFormat="1" ht="15.75" x14ac:dyDescent="0.25">
      <c r="A39" s="1114"/>
      <c r="B39" s="568"/>
      <c r="C39" s="578" t="s">
        <v>475</v>
      </c>
      <c r="D39" s="569"/>
      <c r="E39" s="593"/>
      <c r="F39" s="1104" t="s">
        <v>625</v>
      </c>
      <c r="G39" s="1105"/>
      <c r="H39" s="601">
        <f>VLOOKUP(F39,Konstante!AN142:AP144,3,FALSE)</f>
        <v>0</v>
      </c>
      <c r="I39" s="569"/>
      <c r="K39" s="588"/>
      <c r="L39" s="588"/>
      <c r="M39" s="594"/>
      <c r="N39" s="588"/>
      <c r="O39" s="588"/>
      <c r="P39" s="588"/>
    </row>
    <row r="40" spans="1:17" s="567" customFormat="1" ht="15.75" x14ac:dyDescent="0.25">
      <c r="A40" s="1114"/>
      <c r="B40" s="568"/>
      <c r="C40" s="578" t="s">
        <v>474</v>
      </c>
      <c r="D40" s="569"/>
      <c r="E40" s="593"/>
      <c r="F40" s="1104" t="s">
        <v>473</v>
      </c>
      <c r="G40" s="1105"/>
      <c r="H40" s="601">
        <f>VLOOKUP(F40,Konstante!AN147:AP148,3,FALSE)</f>
        <v>0</v>
      </c>
      <c r="I40" s="569"/>
      <c r="K40" s="588"/>
      <c r="L40" s="588"/>
      <c r="M40" s="594"/>
      <c r="N40" s="588"/>
      <c r="O40" s="588"/>
      <c r="P40" s="588"/>
    </row>
    <row r="41" spans="1:17" s="567" customFormat="1" ht="15.75" x14ac:dyDescent="0.25">
      <c r="A41" s="1114"/>
      <c r="B41" s="568"/>
      <c r="C41" s="578" t="s">
        <v>472</v>
      </c>
      <c r="D41" s="569"/>
      <c r="E41" s="593"/>
      <c r="F41" s="1104" t="s">
        <v>592</v>
      </c>
      <c r="G41" s="1105"/>
      <c r="H41" s="601">
        <f>VLOOKUP(F41,Konstante!AN151:AP153,3,FALSE)</f>
        <v>0</v>
      </c>
      <c r="I41" s="569"/>
      <c r="K41" s="588"/>
      <c r="L41" s="588"/>
      <c r="M41" s="594"/>
      <c r="N41" s="588"/>
      <c r="O41" s="588"/>
      <c r="P41" s="588"/>
    </row>
    <row r="42" spans="1:17" s="567" customFormat="1" ht="15.75" x14ac:dyDescent="0.25">
      <c r="A42" s="1114"/>
      <c r="B42" s="568"/>
      <c r="C42" s="578" t="s">
        <v>470</v>
      </c>
      <c r="D42" s="569"/>
      <c r="E42" s="593"/>
      <c r="F42" s="1104" t="s">
        <v>560</v>
      </c>
      <c r="G42" s="1105"/>
      <c r="H42" s="601">
        <f>VLOOKUP(F42,Konstante!AR142:AT143,3,FALSE)</f>
        <v>0</v>
      </c>
      <c r="I42" s="569"/>
      <c r="K42" s="588" t="s">
        <v>704</v>
      </c>
      <c r="L42" s="588"/>
      <c r="M42" s="594"/>
      <c r="N42" s="588"/>
      <c r="O42" s="588"/>
      <c r="P42" s="602">
        <f>IF(AND(G4&gt;0,ISNUMBER(G4)),1,0)</f>
        <v>0</v>
      </c>
    </row>
    <row r="43" spans="1:17" s="567" customFormat="1" ht="15.75" x14ac:dyDescent="0.25">
      <c r="A43" s="1114"/>
      <c r="B43" s="568"/>
      <c r="C43" s="578" t="s">
        <v>468</v>
      </c>
      <c r="D43" s="569"/>
      <c r="E43" s="593"/>
      <c r="F43" s="1104" t="s">
        <v>467</v>
      </c>
      <c r="G43" s="1105"/>
      <c r="H43" s="601">
        <f>VLOOKUP(F43,Konstante!AR147:AT148,3,FALSE)</f>
        <v>0</v>
      </c>
      <c r="I43" s="569"/>
      <c r="K43" s="588" t="s">
        <v>466</v>
      </c>
      <c r="L43" s="588"/>
      <c r="P43" s="602">
        <f>IF(AND(AnzahlPasspunkte&gt;0,ISNUMBER(AnzahlPasspunkte),VLOOKUP(C11,Konstante!F148:M152,7,FALSE)&gt;0),1,0)</f>
        <v>0</v>
      </c>
      <c r="Q43" s="588"/>
    </row>
    <row r="44" spans="1:17" s="567" customFormat="1" ht="15.75" x14ac:dyDescent="0.25">
      <c r="A44" s="1114"/>
      <c r="B44" s="568"/>
      <c r="C44" s="603"/>
      <c r="D44" s="604"/>
      <c r="E44" s="603"/>
      <c r="F44" s="605"/>
      <c r="G44" s="606"/>
      <c r="H44" s="607"/>
      <c r="I44" s="569"/>
      <c r="K44" s="588" t="s">
        <v>465</v>
      </c>
      <c r="L44" s="588"/>
      <c r="M44" s="588"/>
      <c r="N44" s="588"/>
      <c r="P44" s="602">
        <f>IF(AND(H17&gt;0,ISNUMBER(H17)),1,0)</f>
        <v>0</v>
      </c>
    </row>
    <row r="45" spans="1:17" s="567" customFormat="1" ht="15.75" x14ac:dyDescent="0.25">
      <c r="A45" s="1114"/>
      <c r="B45" s="568"/>
      <c r="C45" s="603"/>
      <c r="D45" s="604"/>
      <c r="E45" s="603"/>
      <c r="F45" s="605"/>
      <c r="G45" s="712" t="s">
        <v>717</v>
      </c>
      <c r="H45" s="607"/>
      <c r="I45" s="569"/>
      <c r="K45" s="588" t="s">
        <v>464</v>
      </c>
      <c r="P45" s="602">
        <f>IF(ISNUMBER(H21),1,0)</f>
        <v>0</v>
      </c>
    </row>
    <row r="46" spans="1:17" s="567" customFormat="1" ht="15.75" x14ac:dyDescent="0.25">
      <c r="A46" s="1114"/>
      <c r="B46" s="568"/>
      <c r="C46" s="569" t="s">
        <v>34</v>
      </c>
      <c r="D46" s="569"/>
      <c r="E46" s="608">
        <v>0.05</v>
      </c>
      <c r="F46" s="569"/>
      <c r="G46" s="1118" t="s">
        <v>843</v>
      </c>
      <c r="H46" s="1119"/>
      <c r="I46" s="569"/>
      <c r="K46" s="588" t="s">
        <v>628</v>
      </c>
      <c r="P46" s="602">
        <f>IF(SUM(H27+H30+H33)&gt;0,1,0)</f>
        <v>0</v>
      </c>
    </row>
    <row r="47" spans="1:17" s="567" customFormat="1" ht="15.75" x14ac:dyDescent="0.25">
      <c r="A47" s="1114"/>
      <c r="B47" s="568"/>
      <c r="C47" s="569" t="s">
        <v>1</v>
      </c>
      <c r="D47" s="569"/>
      <c r="E47" s="609">
        <v>66</v>
      </c>
      <c r="F47" s="569"/>
      <c r="G47" s="1120" t="s">
        <v>844</v>
      </c>
      <c r="H47" s="1120"/>
      <c r="I47" s="569"/>
      <c r="K47" s="588" t="s">
        <v>629</v>
      </c>
      <c r="P47" s="602">
        <f>IF(ISNUMBER(H37),1,0)</f>
        <v>0</v>
      </c>
    </row>
    <row r="48" spans="1:17" s="567" customFormat="1" ht="15.75" x14ac:dyDescent="0.25">
      <c r="A48" s="1114"/>
      <c r="B48" s="568"/>
      <c r="C48" s="569"/>
      <c r="D48" s="569"/>
      <c r="E48" s="610"/>
      <c r="F48" s="569"/>
      <c r="G48" s="568"/>
      <c r="H48" s="568"/>
      <c r="I48" s="566"/>
    </row>
    <row r="49" spans="1:18" s="567" customFormat="1" ht="21" x14ac:dyDescent="0.35">
      <c r="A49" s="1114"/>
      <c r="B49" s="566"/>
      <c r="C49" s="690" t="str">
        <f>IF(VSK=0, "UNVOLLSTÄNDIG AUSGEFÜLLT!","")</f>
        <v>UNVOLLSTÄNDIG AUSGEFÜLLT!</v>
      </c>
      <c r="D49" s="566"/>
      <c r="E49" s="566"/>
      <c r="F49" s="689">
        <f>IF(SUM(P42:P47)&gt;0,1,0)</f>
        <v>0</v>
      </c>
      <c r="G49" s="1121" t="str">
        <f>IF(VSK&lt;&gt;0, G110,"")</f>
        <v/>
      </c>
      <c r="H49" s="1121"/>
      <c r="I49" s="566"/>
      <c r="K49" s="588"/>
      <c r="L49" s="588"/>
      <c r="Q49" s="588"/>
      <c r="R49" s="588"/>
    </row>
    <row r="50" spans="1:18" s="567" customFormat="1" ht="15.75" x14ac:dyDescent="0.25">
      <c r="A50" s="1114"/>
      <c r="B50" s="566"/>
      <c r="C50" s="566"/>
      <c r="D50" s="566"/>
      <c r="E50" s="566"/>
      <c r="F50" s="566"/>
      <c r="G50" s="566"/>
      <c r="H50" s="566"/>
      <c r="I50" s="566"/>
    </row>
    <row r="51" spans="1:18" ht="8.25" customHeight="1" x14ac:dyDescent="0.25">
      <c r="A51" s="982" t="s">
        <v>72</v>
      </c>
    </row>
    <row r="52" spans="1:18" x14ac:dyDescent="0.25">
      <c r="A52" s="982"/>
      <c r="B52" s="974" t="str">
        <f>CONCATENATE(Gesamt!C2, ": ", Gesamt!E2)</f>
        <v xml:space="preserve">Projekt: </v>
      </c>
      <c r="C52" s="974"/>
      <c r="D52" s="974"/>
      <c r="E52" s="974"/>
      <c r="F52" s="974"/>
      <c r="G52" s="974"/>
      <c r="H52" s="974"/>
      <c r="I52" s="974"/>
    </row>
    <row r="53" spans="1:18" x14ac:dyDescent="0.25">
      <c r="A53" s="982"/>
      <c r="B5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53" s="969"/>
      <c r="D53" s="969"/>
      <c r="E53" s="969"/>
      <c r="F53" s="969"/>
      <c r="G53" s="969"/>
      <c r="H53" s="969"/>
      <c r="I53" s="969"/>
    </row>
    <row r="54" spans="1:18" x14ac:dyDescent="0.25">
      <c r="A54" s="982"/>
      <c r="B5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54" s="969"/>
      <c r="D54" s="969"/>
      <c r="E54" s="969"/>
      <c r="F54" s="969"/>
      <c r="G54" s="969"/>
      <c r="H54" s="969"/>
      <c r="I54" s="969"/>
    </row>
    <row r="55" spans="1:18" x14ac:dyDescent="0.25">
      <c r="A55" s="982"/>
      <c r="B55" s="985" t="s">
        <v>42</v>
      </c>
      <c r="C55" s="985"/>
      <c r="D55" s="985"/>
      <c r="E55" s="985"/>
      <c r="F55" s="985"/>
      <c r="G55" s="985"/>
      <c r="H55" s="985"/>
      <c r="I55" s="985"/>
    </row>
    <row r="56" spans="1:18" ht="10.5" customHeight="1" x14ac:dyDescent="0.25">
      <c r="A56" s="982"/>
    </row>
    <row r="57" spans="1:18" ht="18.75" x14ac:dyDescent="0.25">
      <c r="A57" s="982"/>
      <c r="B57" s="986" t="str">
        <f>D2</f>
        <v>PHOTOGRAMMETRIE</v>
      </c>
      <c r="C57" s="986"/>
      <c r="D57" s="986"/>
      <c r="E57" s="986"/>
      <c r="F57" s="986"/>
      <c r="G57" s="986"/>
      <c r="H57" s="986"/>
      <c r="I57" s="986"/>
    </row>
    <row r="58" spans="1:18" s="612" customFormat="1" ht="6.75" customHeight="1" x14ac:dyDescent="0.2">
      <c r="A58" s="982"/>
    </row>
    <row r="59" spans="1:18" s="612" customFormat="1" x14ac:dyDescent="0.25">
      <c r="A59" s="982"/>
      <c r="C59" s="612" t="s">
        <v>789</v>
      </c>
      <c r="F59" s="638" t="s">
        <v>463</v>
      </c>
      <c r="G59" s="170">
        <f>Gesamt!E14</f>
        <v>79.08</v>
      </c>
    </row>
    <row r="60" spans="1:18" s="612" customFormat="1" ht="9" customHeight="1" x14ac:dyDescent="0.2">
      <c r="A60" s="982"/>
    </row>
    <row r="61" spans="1:18" ht="15.75" x14ac:dyDescent="0.25">
      <c r="A61" s="982"/>
      <c r="C61" s="614" t="s">
        <v>462</v>
      </c>
      <c r="H61" s="615">
        <f>G4</f>
        <v>0</v>
      </c>
    </row>
    <row r="62" spans="1:18" s="616" customFormat="1" ht="7.5" customHeight="1" x14ac:dyDescent="0.2">
      <c r="A62" s="982"/>
      <c r="C62" s="617"/>
    </row>
    <row r="63" spans="1:18" ht="15.75" x14ac:dyDescent="0.25">
      <c r="A63" s="982"/>
      <c r="B63" s="618"/>
      <c r="C63" s="619" t="s">
        <v>461</v>
      </c>
    </row>
    <row r="64" spans="1:18" s="612" customFormat="1" ht="12.75" x14ac:dyDescent="0.2">
      <c r="A64" s="982"/>
      <c r="B64" s="620"/>
      <c r="C64" s="621" t="s">
        <v>460</v>
      </c>
      <c r="D64" s="622">
        <f>VLOOKUP(Masstab,Konstante!C142:D148,2,FALSE)</f>
        <v>1.2</v>
      </c>
      <c r="E64" s="623" t="str">
        <f>CONCATENATE("Auswertemaßstab ",Masstab)</f>
        <v>Auswertemaßstab 1 : 1.000</v>
      </c>
      <c r="F64" s="621"/>
      <c r="G64" s="621"/>
    </row>
    <row r="65" spans="1:12" s="612" customFormat="1" ht="12.75" x14ac:dyDescent="0.2">
      <c r="A65" s="982"/>
      <c r="B65" s="620"/>
      <c r="C65" s="621" t="s">
        <v>306</v>
      </c>
      <c r="D65" s="624">
        <f>AnzahlPasspunkte</f>
        <v>0</v>
      </c>
      <c r="E65" s="625" t="s">
        <v>459</v>
      </c>
      <c r="F65" s="621"/>
      <c r="G65" s="621"/>
    </row>
    <row r="66" spans="1:12" s="612" customFormat="1" ht="12.75" x14ac:dyDescent="0.2">
      <c r="A66" s="982"/>
      <c r="B66" s="620"/>
      <c r="C66" s="626" t="str">
        <f>CONCATENATE(C11, ", ", G10)</f>
        <v>Vorhandene Festpunkte mit Abständen &lt; 1km, leicht zugänglich</v>
      </c>
      <c r="D66" s="627"/>
      <c r="E66" s="626"/>
      <c r="F66" s="626"/>
      <c r="G66" s="626"/>
      <c r="H66" s="628"/>
    </row>
    <row r="67" spans="1:12" s="629" customFormat="1" ht="12.75" x14ac:dyDescent="0.25">
      <c r="A67" s="982"/>
      <c r="C67" s="630" t="s">
        <v>458</v>
      </c>
      <c r="D67" s="622">
        <f>VLOOKUP(C11,Konstante!F147:M152,6+VLOOKUP(G10,Konstante!F142:H143,3,FALSE),FALSE)</f>
        <v>3</v>
      </c>
      <c r="E67" s="631" t="s">
        <v>457</v>
      </c>
      <c r="F67" s="630"/>
      <c r="G67" s="630"/>
    </row>
    <row r="68" spans="1:12" s="612" customFormat="1" ht="12.75" x14ac:dyDescent="0.2">
      <c r="A68" s="982"/>
      <c r="C68" s="621" t="s">
        <v>456</v>
      </c>
      <c r="D68" s="622">
        <f>VLOOKUP(G12,Konstante!I142:K145,3,FALSE)</f>
        <v>0.5</v>
      </c>
      <c r="E68" s="621" t="str">
        <f>IF(D68&gt;0,CONCATENATE("Passpunktdokumentation: ",G12), "keine Passpunktdokumentation")</f>
        <v>Passpunktdokumentation: Eintragung in Skizzen</v>
      </c>
      <c r="F68" s="621"/>
      <c r="G68" s="621"/>
    </row>
    <row r="69" spans="1:12" s="612" customFormat="1" ht="12.75" x14ac:dyDescent="0.2">
      <c r="A69" s="982"/>
      <c r="C69" s="621" t="s">
        <v>455</v>
      </c>
      <c r="D69" s="632">
        <f>IF(ISNUMBER(E13),E13,0)</f>
        <v>0.05</v>
      </c>
      <c r="E69" s="621" t="str">
        <f>IF(AND(ISNUMBER(E13),F13&lt;&gt;""),CONCATENATE("Zuschlag für ",F13),IF(AND(ISNUMBER(E13),F13=""),"Sonderzuschlag","keine sonstigen Zuschläge"))</f>
        <v>Zuschlag für Gebirgstäler</v>
      </c>
      <c r="F69" s="621"/>
      <c r="G69" s="621"/>
    </row>
    <row r="70" spans="1:12" x14ac:dyDescent="0.25">
      <c r="A70" s="982"/>
      <c r="C70" s="633" t="s">
        <v>64</v>
      </c>
      <c r="D70" s="634" t="str">
        <f>IF(C11=Konstante!F152,"Keine Formel! &gt; Bearbeitungsaufwand nach Zeitaufwand!","H = (n * F + 5) * IS * M * (1+ z) + (n * d * IS)")</f>
        <v>H = (n * F + 5) * IS * M * (1+ z) + (n * d * IS)</v>
      </c>
      <c r="E70" s="633"/>
      <c r="H70" s="615">
        <f>IF(VSK1_&lt;&gt;0,((D65*D67+5)*IS*D64*(D69+1)+(D65*D68*IS)),0)</f>
        <v>0</v>
      </c>
      <c r="L70" s="635"/>
    </row>
    <row r="71" spans="1:12" s="616" customFormat="1" ht="7.5" customHeight="1" x14ac:dyDescent="0.2">
      <c r="A71" s="982"/>
      <c r="C71" s="636"/>
    </row>
    <row r="72" spans="1:12" ht="15.75" x14ac:dyDescent="0.25">
      <c r="A72" s="982"/>
      <c r="C72" s="637" t="s">
        <v>454</v>
      </c>
      <c r="E72" s="612" t="str">
        <f>CONCATENATE("(",H16,"e Messung der Verknüpfungspunkte)")</f>
        <v>(manuelle Messung der Verknüpfungspunkte)</v>
      </c>
      <c r="G72" s="633"/>
      <c r="H72" s="633"/>
      <c r="I72" s="633"/>
    </row>
    <row r="73" spans="1:12" s="612" customFormat="1" ht="12.75" x14ac:dyDescent="0.2">
      <c r="A73" s="982"/>
      <c r="C73" s="612" t="s">
        <v>381</v>
      </c>
      <c r="D73" s="613">
        <f>H17</f>
        <v>0</v>
      </c>
      <c r="E73" s="612" t="s">
        <v>453</v>
      </c>
      <c r="F73" s="638"/>
    </row>
    <row r="74" spans="1:12" s="612" customFormat="1" ht="12.75" x14ac:dyDescent="0.2">
      <c r="A74" s="982"/>
      <c r="C74" s="612" t="s">
        <v>449</v>
      </c>
      <c r="D74" s="698">
        <f>IF(H16="automatisch",IF(H17&gt;=100,0.1,0.2),IF(H17&gt;=100,0.2,IF(H17&gt;=10,0.3,0.5)))</f>
        <v>0.5</v>
      </c>
      <c r="E74" s="612" t="s">
        <v>448</v>
      </c>
    </row>
    <row r="75" spans="1:12" x14ac:dyDescent="0.25">
      <c r="A75" s="982"/>
      <c r="C75" s="633" t="s">
        <v>64</v>
      </c>
      <c r="D75" s="634" t="str">
        <f>IF(H16=Konstante!O142,"H = n * (0,15 + A) * IS","H = n * (0,25 + A) * IS")</f>
        <v>H = n * (0,25 + A) * IS</v>
      </c>
      <c r="E75" s="633"/>
      <c r="H75" s="615">
        <f>IF(VSK2_&lt;&gt;0,IF(H16=Konstante!O142,D73*(0.15+D74)*IS,D73*(0.25+D74)*IS),0)</f>
        <v>0</v>
      </c>
    </row>
    <row r="76" spans="1:12" s="616" customFormat="1" ht="7.5" customHeight="1" x14ac:dyDescent="0.2">
      <c r="A76" s="982"/>
      <c r="B76" s="639"/>
    </row>
    <row r="77" spans="1:12" ht="15.75" x14ac:dyDescent="0.25">
      <c r="A77" s="982"/>
      <c r="C77" s="637" t="s">
        <v>452</v>
      </c>
    </row>
    <row r="78" spans="1:12" x14ac:dyDescent="0.25">
      <c r="A78" s="982"/>
      <c r="C78" s="633" t="s">
        <v>451</v>
      </c>
    </row>
    <row r="79" spans="1:12" s="612" customFormat="1" ht="12.75" x14ac:dyDescent="0.2">
      <c r="A79" s="982"/>
      <c r="C79" s="612" t="s">
        <v>381</v>
      </c>
      <c r="D79" s="640">
        <f>H21</f>
        <v>0</v>
      </c>
      <c r="E79" s="612" t="s">
        <v>450</v>
      </c>
    </row>
    <row r="80" spans="1:12" s="612" customFormat="1" ht="12.75" x14ac:dyDescent="0.2">
      <c r="A80" s="982"/>
      <c r="C80" s="612" t="s">
        <v>449</v>
      </c>
      <c r="D80" s="613">
        <f>IF(H21&gt;=500,0.006,IF(H21&gt;=250,0.01,0.02))</f>
        <v>0.02</v>
      </c>
      <c r="E80" s="612" t="s">
        <v>448</v>
      </c>
    </row>
    <row r="81" spans="1:9" x14ac:dyDescent="0.25">
      <c r="A81" s="982"/>
      <c r="C81" s="633" t="s">
        <v>64</v>
      </c>
      <c r="D81" s="634" t="s">
        <v>447</v>
      </c>
      <c r="E81" s="633"/>
      <c r="H81" s="615">
        <f>IF(VSK3_&lt;&gt;0,D79*(0.05+D80)*IS,0)</f>
        <v>0</v>
      </c>
    </row>
    <row r="82" spans="1:9" s="616" customFormat="1" ht="7.5" customHeight="1" x14ac:dyDescent="0.2">
      <c r="A82" s="982"/>
    </row>
    <row r="83" spans="1:9" x14ac:dyDescent="0.25">
      <c r="A83" s="982"/>
      <c r="C83" s="633" t="s">
        <v>446</v>
      </c>
      <c r="F83" s="612" t="str">
        <f>CONCATENATE(Masstab, ", ", VLOOKUP(F23,Konstante!O149:Q151,3,FALSE))</f>
        <v>1 : 1.000, Auswertung nach Lage und Höhe</v>
      </c>
    </row>
    <row r="84" spans="1:9" s="612" customFormat="1" ht="13.5" customHeight="1" x14ac:dyDescent="0.35">
      <c r="A84" s="982"/>
      <c r="C84" s="865" t="s">
        <v>836</v>
      </c>
      <c r="D84" s="873">
        <f>H27</f>
        <v>0</v>
      </c>
      <c r="E84" s="874" t="str">
        <f>C27</f>
        <v>Ackerland mit großen Grundstücken, Geländeklasse I (eben)</v>
      </c>
      <c r="F84" s="874"/>
      <c r="G84" s="874"/>
      <c r="H84" s="874"/>
    </row>
    <row r="85" spans="1:9" s="875" customFormat="1" ht="11.25" x14ac:dyDescent="0.2">
      <c r="A85" s="982"/>
      <c r="C85" s="875" t="str">
        <f>IF(OR(E28=0,E28=""),"","")</f>
        <v/>
      </c>
      <c r="D85" s="876" t="str">
        <f>IF(OR(E28=0,E28=""),"",E28)</f>
        <v/>
      </c>
      <c r="E85" s="877" t="str">
        <f>IF(ISNUMBER(D85),IF(F28&lt;&gt;"",F28,""),"keine weiteren Zu-/Abschläge")</f>
        <v>keine weiteren Zu-/Abschläge</v>
      </c>
    </row>
    <row r="86" spans="1:9" s="612" customFormat="1" ht="13.5" customHeight="1" x14ac:dyDescent="0.35">
      <c r="A86" s="982"/>
      <c r="C86" s="865" t="s">
        <v>840</v>
      </c>
      <c r="D86" s="873">
        <f>H30</f>
        <v>0</v>
      </c>
      <c r="E86" s="874" t="str">
        <f>C30</f>
        <v>Ackerland mit großen Grundstücken, Geländeklasse I (eben)</v>
      </c>
      <c r="F86" s="874"/>
      <c r="G86" s="874"/>
      <c r="H86" s="874"/>
    </row>
    <row r="87" spans="1:9" s="875" customFormat="1" ht="11.25" x14ac:dyDescent="0.2">
      <c r="A87" s="982"/>
      <c r="C87" s="875" t="str">
        <f>IF(OR(E30=0,E30=""),"","")</f>
        <v/>
      </c>
      <c r="D87" s="876" t="str">
        <f>IF(OR(E31=0,E31=""),"",E31)</f>
        <v/>
      </c>
      <c r="E87" s="877" t="str">
        <f>IF(ISNUMBER(D87),IF(F31&lt;&gt;"",F31,""),"keine weiteren Zu-/Abschläge")</f>
        <v>keine weiteren Zu-/Abschläge</v>
      </c>
    </row>
    <row r="88" spans="1:9" s="612" customFormat="1" ht="13.5" customHeight="1" x14ac:dyDescent="0.35">
      <c r="A88" s="982"/>
      <c r="C88" s="865" t="s">
        <v>841</v>
      </c>
      <c r="D88" s="873">
        <f>H33</f>
        <v>0</v>
      </c>
      <c r="E88" s="874" t="str">
        <f>C33</f>
        <v>Ackerland mit großen Grundstücken, Geländeklasse I (eben)</v>
      </c>
      <c r="F88" s="874"/>
      <c r="G88" s="874"/>
      <c r="H88" s="874"/>
    </row>
    <row r="89" spans="1:9" s="875" customFormat="1" ht="11.25" x14ac:dyDescent="0.2">
      <c r="A89" s="982"/>
      <c r="C89" s="875" t="str">
        <f>IF(OR(E32=0,E32=""),"","")</f>
        <v/>
      </c>
      <c r="D89" s="876" t="str">
        <f>IF(OR(E34=0,E34=""),"",E34)</f>
        <v/>
      </c>
      <c r="E89" s="877" t="str">
        <f>IF(ISNUMBER(D89),IF(F34&lt;&gt;"",F34,""),"keine weiteren Zu-/Abschläge")</f>
        <v>keine weiteren Zu-/Abschläge</v>
      </c>
    </row>
    <row r="90" spans="1:9" s="612" customFormat="1" ht="12.75" x14ac:dyDescent="0.2">
      <c r="A90" s="982"/>
      <c r="C90" s="612" t="s">
        <v>445</v>
      </c>
      <c r="D90" s="641">
        <f>VLOOKUP(H$6,Konstante!AW143:BA149,1+VLOOKUP(C27,Konstante!W142:AD153,8,FALSE),FALSE)</f>
        <v>0.60599999999999998</v>
      </c>
      <c r="E90" s="641">
        <f>VLOOKUP(H$6,Konstante!AW143:BA149,1+VLOOKUP(C30,Konstante!W142:AD153,8,FALSE),FALSE)</f>
        <v>0.60599999999999998</v>
      </c>
      <c r="F90" s="641">
        <f>VLOOKUP(H$6,Konstante!AW143:BA149,1+VLOOKUP(C33,Konstante!W142:AD153,8,FALSE),FALSE)</f>
        <v>0.60599999999999998</v>
      </c>
      <c r="G90" s="612" t="s">
        <v>444</v>
      </c>
    </row>
    <row r="91" spans="1:9" s="612" customFormat="1" ht="12.75" x14ac:dyDescent="0.2">
      <c r="A91" s="982"/>
      <c r="C91" s="612" t="s">
        <v>443</v>
      </c>
      <c r="D91" s="641" t="str">
        <f>IF(F23&lt;&gt;Konstante!O149,VLOOKUP(C27,Konstante!W142:AE153,9,FALSE),"")</f>
        <v/>
      </c>
      <c r="E91" s="641" t="str">
        <f>IF(F23&lt;&gt;Konstante!O149,VLOOKUP(C30,Konstante!W142:AE153,9,FALSE),"")</f>
        <v/>
      </c>
      <c r="F91" s="641" t="str">
        <f>IF(F23&lt;&gt;Konstante!O149,VLOOKUP(C33,Konstante!W142:AE153,9,FALSE),"")</f>
        <v/>
      </c>
      <c r="G91" s="612" t="str">
        <f>IF(F23&lt;&gt;Konstante!O149,"Faktor aus Tabelle 3.13e","kommt nicht zur Anwendung")</f>
        <v>kommt nicht zur Anwendung</v>
      </c>
    </row>
    <row r="92" spans="1:9" s="612" customFormat="1" ht="12.75" x14ac:dyDescent="0.2">
      <c r="A92" s="982"/>
      <c r="C92" s="612" t="s">
        <v>442</v>
      </c>
      <c r="D92" s="641">
        <f>IF(F23=Konstante!O149,VLOOKUP(E24,Konstante!AG142:AL144,6,FALSE),"")</f>
        <v>0.9</v>
      </c>
      <c r="E92" s="641">
        <f>IF(F23=Konstante!O149,VLOOKUP(E24,Konstante!AG142:AL144,6,FALSE),"")</f>
        <v>0.9</v>
      </c>
      <c r="F92" s="641">
        <f>IF(F23=Konstante!O149,VLOOKUP(E24,Konstante!AG142:AL144,6,FALSE),"")</f>
        <v>0.9</v>
      </c>
      <c r="G92" s="642" t="str">
        <f>IF(F23=Konstante!O149,"Faktor aus Tabelle 3.13f","kommt nicht zur Anwendung")</f>
        <v>Faktor aus Tabelle 3.13f</v>
      </c>
    </row>
    <row r="93" spans="1:9" s="612" customFormat="1" ht="12.75" x14ac:dyDescent="0.2">
      <c r="A93" s="982"/>
      <c r="C93" s="612" t="s">
        <v>441</v>
      </c>
      <c r="D93" s="643">
        <f>IF((H27/VLOOKUP(H6,Konstante!BC143:BE149,2,FALSE))&gt;0.15,0.85,ROUND(1-(H27/VLOOKUP(H6,Konstante!BC143:BE149,2,FALSE)),2))</f>
        <v>1</v>
      </c>
      <c r="E93" s="643">
        <f>IF((H30/VLOOKUP(H6,Konstante!BC143:BE149,2,FALSE))&gt;0.15,0.85,ROUND(1-(H30/VLOOKUP(H6,Konstante!BC143:BE149,2,FALSE)),2))</f>
        <v>1</v>
      </c>
      <c r="F93" s="643">
        <f>IF((H33/VLOOKUP(H6,Konstante!BC143:BE149,2,FALSE))&gt;0.15,0.85,ROUND(1-(H33/VLOOKUP(H6,Konstante!BC143:BE149,2,FALSE)),2))</f>
        <v>1</v>
      </c>
      <c r="G93" s="612" t="s">
        <v>630</v>
      </c>
    </row>
    <row r="94" spans="1:9" s="875" customFormat="1" ht="11.25" x14ac:dyDescent="0.2">
      <c r="A94" s="982"/>
      <c r="D94" s="879">
        <f>IF(VSK4_&lt;&gt;0,PRODUCT($D$84,D90,IF(D91="",1,D91),IF(D92="",IF($F$23=Konstante!$O$151,0.7,1),D92),D93,IS,SUM(1,$D$85),),0)</f>
        <v>0</v>
      </c>
      <c r="E94" s="879">
        <f>IF(VSK4_&lt;&gt;0,PRODUCT($D$86,E90,IF(E91="",1,E91),IF(E92="",IF($F$23=Konstante!$O$151,0.7,1),E92),E93,IS,SUM(1,$D$87),),0)</f>
        <v>0</v>
      </c>
      <c r="F94" s="879">
        <f>IF(VSK4_&lt;&gt;0,PRODUCT($D$88,F90,IF(F91="",1,F91),IF(F92="",IF($F$23=Konstante!$O$151,0.7,1),F92),F93,IS,SUM(1,$D$89),),0)</f>
        <v>0</v>
      </c>
      <c r="G94" s="875" t="s">
        <v>842</v>
      </c>
    </row>
    <row r="95" spans="1:9" x14ac:dyDescent="0.25">
      <c r="A95" s="982"/>
      <c r="C95" s="633" t="s">
        <v>64</v>
      </c>
      <c r="D95" s="634" t="str">
        <f>CONCATENATE(VLOOKUP(F23,Konstante!O149:T151,6,FALSE),IF(D85=0,"","  zuzügl. Ab-/Zuschläge"))</f>
        <v>H1 = Q x F2 x F4 x T x IS  zuzügl. Ab-/Zuschläge</v>
      </c>
      <c r="E95" s="633"/>
      <c r="H95" s="615">
        <f>SUM(D94:F94)</f>
        <v>0</v>
      </c>
      <c r="I95" s="645"/>
    </row>
    <row r="96" spans="1:9" s="616" customFormat="1" ht="7.5" customHeight="1" x14ac:dyDescent="0.2">
      <c r="A96" s="982"/>
    </row>
    <row r="97" spans="1:12" x14ac:dyDescent="0.25">
      <c r="A97" s="982"/>
      <c r="C97" s="633" t="s">
        <v>631</v>
      </c>
    </row>
    <row r="98" spans="1:12" s="612" customFormat="1" ht="12.75" x14ac:dyDescent="0.2">
      <c r="A98" s="982"/>
      <c r="C98" s="612" t="s">
        <v>632</v>
      </c>
      <c r="F98" s="646">
        <f>H37</f>
        <v>0</v>
      </c>
    </row>
    <row r="99" spans="1:12" s="875" customFormat="1" ht="11.25" x14ac:dyDescent="0.2">
      <c r="A99" s="982"/>
      <c r="C99" s="875" t="s">
        <v>163</v>
      </c>
      <c r="F99" s="878" t="str">
        <f t="shared" ref="F99:F104" si="0">F38</f>
        <v>eben, hügelig</v>
      </c>
      <c r="H99" s="875" t="str">
        <f t="shared" ref="H99:H104" si="1">IF(H38=0,"",(IF(H38&lt;0,CONCATENATE(ABS(H38)*100,"% Abschlag"),CONCATENATE(H38*100,"% Aufschlag"))))</f>
        <v/>
      </c>
    </row>
    <row r="100" spans="1:12" s="875" customFormat="1" ht="11.25" x14ac:dyDescent="0.2">
      <c r="A100" s="982"/>
      <c r="C100" s="875" t="s">
        <v>633</v>
      </c>
      <c r="F100" s="878" t="str">
        <f t="shared" si="0"/>
        <v>Sommer</v>
      </c>
      <c r="H100" s="875" t="str">
        <f t="shared" si="1"/>
        <v/>
      </c>
    </row>
    <row r="101" spans="1:12" s="875" customFormat="1" ht="11.25" x14ac:dyDescent="0.2">
      <c r="A101" s="982"/>
      <c r="C101" s="875" t="s">
        <v>634</v>
      </c>
      <c r="F101" s="878" t="str">
        <f t="shared" si="0"/>
        <v>Sonnenhöchststand +/-2h</v>
      </c>
      <c r="H101" s="875" t="str">
        <f t="shared" si="1"/>
        <v/>
      </c>
    </row>
    <row r="102" spans="1:12" s="875" customFormat="1" ht="11.25" x14ac:dyDescent="0.2">
      <c r="A102" s="982"/>
      <c r="C102" s="875" t="s">
        <v>635</v>
      </c>
      <c r="F102" s="878" t="str">
        <f t="shared" si="0"/>
        <v>für einen Tag</v>
      </c>
      <c r="H102" s="875" t="str">
        <f t="shared" si="1"/>
        <v/>
      </c>
    </row>
    <row r="103" spans="1:12" s="875" customFormat="1" ht="11.25" x14ac:dyDescent="0.2">
      <c r="A103" s="982"/>
      <c r="C103" s="875" t="s">
        <v>636</v>
      </c>
      <c r="F103" s="878" t="str">
        <f t="shared" si="0"/>
        <v>ländliche Gebiete</v>
      </c>
      <c r="H103" s="875" t="str">
        <f t="shared" si="1"/>
        <v/>
      </c>
    </row>
    <row r="104" spans="1:12" s="875" customFormat="1" ht="11.25" x14ac:dyDescent="0.2">
      <c r="A104" s="982"/>
      <c r="C104" s="875" t="s">
        <v>637</v>
      </c>
      <c r="F104" s="878" t="str">
        <f t="shared" si="0"/>
        <v>Normalwinkel</v>
      </c>
      <c r="H104" s="875" t="str">
        <f t="shared" si="1"/>
        <v/>
      </c>
    </row>
    <row r="105" spans="1:12" x14ac:dyDescent="0.25">
      <c r="A105" s="982"/>
      <c r="C105" s="633" t="s">
        <v>64</v>
      </c>
      <c r="D105" s="634" t="s">
        <v>638</v>
      </c>
      <c r="E105" s="633"/>
      <c r="H105" s="615">
        <f>IF(VSK5_&lt;&gt;0,F98*0.25*IS*(1+SUM(H38:H43)),0)</f>
        <v>0</v>
      </c>
      <c r="I105" s="645"/>
    </row>
    <row r="106" spans="1:12" s="616" customFormat="1" ht="7.5" customHeight="1" x14ac:dyDescent="0.2">
      <c r="A106" s="982"/>
    </row>
    <row r="107" spans="1:12" s="612" customFormat="1" ht="12.75" x14ac:dyDescent="0.2">
      <c r="A107" s="982"/>
      <c r="B107" s="647"/>
      <c r="C107" s="612" t="str">
        <f>IF(AND(ZuAbschlag&lt;&gt;0,VSK&lt;&gt;0),"Zu-/Abschlag:","")</f>
        <v/>
      </c>
      <c r="E107" s="648" t="str">
        <f>IF(AND(ZuAbschlag&lt;&gt;0,VSK&lt;&gt;0),ZuAbschlag,"")</f>
        <v/>
      </c>
      <c r="F107" s="649" t="str">
        <f>IF(AND(ZuAbschlag&lt;&gt;0,VSK&lt;&gt;0),H61*E107+H70*E107+H75*E107+H81*E107+H95*E107+H105*E107,"")</f>
        <v/>
      </c>
      <c r="G107" s="644" t="str">
        <f>IF(AND(ZuAbschlag&lt;&gt;0,VSK&lt;&gt;0,G46&lt;&gt;""),G46,"")</f>
        <v/>
      </c>
      <c r="L107" s="700"/>
    </row>
    <row r="108" spans="1:12" s="612" customFormat="1" ht="12.75" x14ac:dyDescent="0.2">
      <c r="A108" s="982"/>
      <c r="C108" s="691" t="str">
        <f>IF(AND(NK&lt;&gt;0,VSK&lt;&gt;0),"Nebenkosten:","")</f>
        <v/>
      </c>
      <c r="D108" s="691"/>
      <c r="E108" s="691"/>
      <c r="F108" s="692" t="str">
        <f>IF(AND(NK&lt;&gt;0,VSK&lt;&gt;0),NK,"")</f>
        <v/>
      </c>
      <c r="G108" s="693" t="str">
        <f>IF(AND(NK&lt;&gt;0,VSK&lt;&gt;0,G47&lt;&gt;""),G47,"")</f>
        <v/>
      </c>
      <c r="H108" s="691"/>
    </row>
    <row r="109" spans="1:12" s="616" customFormat="1" ht="7.5" customHeight="1" x14ac:dyDescent="0.2">
      <c r="A109" s="982"/>
      <c r="I109" s="639"/>
    </row>
    <row r="110" spans="1:12" ht="15.75" x14ac:dyDescent="0.25">
      <c r="A110" s="982"/>
      <c r="C110" s="650" t="s">
        <v>71</v>
      </c>
      <c r="D110" s="650"/>
      <c r="E110" s="650"/>
      <c r="F110" s="650"/>
      <c r="G110" s="980">
        <f>IF(VSK&gt;0,SUM(H61,H70,H75,H81,H95,H105,F107,F108),0)</f>
        <v>0</v>
      </c>
      <c r="H110" s="980"/>
    </row>
  </sheetData>
  <mergeCells count="32">
    <mergeCell ref="A1:A50"/>
    <mergeCell ref="D2:H2"/>
    <mergeCell ref="G46:H46"/>
    <mergeCell ref="G47:H47"/>
    <mergeCell ref="G49:H49"/>
    <mergeCell ref="F23:H23"/>
    <mergeCell ref="E24:H24"/>
    <mergeCell ref="C11:H11"/>
    <mergeCell ref="C27:G27"/>
    <mergeCell ref="F38:G38"/>
    <mergeCell ref="C30:G30"/>
    <mergeCell ref="F31:H31"/>
    <mergeCell ref="C33:G33"/>
    <mergeCell ref="F34:H34"/>
    <mergeCell ref="F26:G26"/>
    <mergeCell ref="G4:H4"/>
    <mergeCell ref="A51:A110"/>
    <mergeCell ref="B52:I52"/>
    <mergeCell ref="B53:I53"/>
    <mergeCell ref="B54:I54"/>
    <mergeCell ref="B55:I55"/>
    <mergeCell ref="B57:I57"/>
    <mergeCell ref="G110:H110"/>
    <mergeCell ref="F43:G43"/>
    <mergeCell ref="F28:H28"/>
    <mergeCell ref="G10:H10"/>
    <mergeCell ref="G12:H12"/>
    <mergeCell ref="F13:H13"/>
    <mergeCell ref="F39:G39"/>
    <mergeCell ref="F40:G40"/>
    <mergeCell ref="F41:G41"/>
    <mergeCell ref="F42:G42"/>
  </mergeCells>
  <dataValidations count="9">
    <dataValidation type="decimal" operator="greaterThan" allowBlank="1" showInputMessage="1" showErrorMessage="1" error="Flugkosten ab € 0,00" sqref="G4:H4">
      <formula1>-0.001</formula1>
    </dataValidation>
    <dataValidation type="decimal" operator="greaterThan" allowBlank="1" showInputMessage="1" showErrorMessage="1" error="Polygonzug muss  mindestens 0,01 km lang sein!" sqref="H18:H19 G5 G7">
      <formula1>0.005</formula1>
    </dataValidation>
    <dataValidation type="decimal" allowBlank="1" showInputMessage="1" showErrorMessage="1" sqref="H14">
      <formula1>0</formula1>
      <formula2>2</formula2>
    </dataValidation>
    <dataValidation type="whole" operator="greaterThan" allowBlank="1" showInputMessage="1" showErrorMessage="1" error="ganze Zahl größer 0 erwartet!" sqref="H21 H37 H17 H9">
      <formula1>-1</formula1>
    </dataValidation>
    <dataValidation type="decimal" operator="greaterThan" showInputMessage="1" showErrorMessage="1" sqref="E46:E47">
      <formula1>-1000</formula1>
    </dataValidation>
    <dataValidation type="custom" allowBlank="1" showInputMessage="1" showErrorMessage="1" sqref="J22">
      <formula1>#REF!</formula1>
    </dataValidation>
    <dataValidation type="custom" allowBlank="1" showInputMessage="1" showErrorMessage="1" sqref="M24:M25">
      <formula1>47*2*#REF!</formula1>
    </dataValidation>
    <dataValidation type="custom" allowBlank="1" showInputMessage="1" showErrorMessage="1" sqref="M26">
      <formula1>47*2*#REF!</formula1>
    </dataValidation>
    <dataValidation type="decimal" operator="greaterThan" allowBlank="1" showInputMessage="1" showErrorMessage="1" error="Zahl ab 0 erwartet!" sqref="H27 H30 H33">
      <formula1>-0.000000001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  <ignoredErrors>
    <ignoredError sqref="G49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ABAB71E2-6002-4DEE-BCE4-36E13D46520C}">
            <xm:f>OR(C27=Konstante!W$151,C27=Konstante!W$152,C27=Konstante!W$153)</xm:f>
            <x14:dxf>
              <font>
                <color rgb="FFFF0000"/>
              </font>
            </x14:dxf>
          </x14:cfRule>
          <xm:sqref>C31:D31 C28:D28 C34:D34</xm:sqref>
        </x14:conditionalFormatting>
        <x14:conditionalFormatting xmlns:xm="http://schemas.microsoft.com/office/excel/2006/main">
          <x14:cfRule type="expression" priority="3" id="{BCA20C8D-C670-43EE-AE33-D302246D0B7D}">
            <xm:f>OR(C31=Konstante!W158,C31=Konstante!W160,C31=Konstante!W161)</xm:f>
            <x14:dxf>
              <font>
                <color rgb="FFFF0000"/>
              </font>
            </x14:dxf>
          </x14:cfRule>
          <xm:sqref>C32</xm:sqref>
        </x14:conditionalFormatting>
        <x14:conditionalFormatting xmlns:xm="http://schemas.microsoft.com/office/excel/2006/main">
          <x14:cfRule type="expression" priority="7" id="{92E9F91D-8ADB-4A6A-AA79-691201173C55}">
            <xm:f>OR(#REF!=Konstante!W160,#REF!=Konstante!W162,#REF!=Konstante!W163)</xm:f>
            <x14:dxf>
              <font>
                <b val="0"/>
                <i val="0"/>
                <strike val="0"/>
                <color rgb="FFFF0000"/>
              </font>
              <numFmt numFmtId="30" formatCode="@"/>
            </x14:dxf>
          </x14:cfRule>
          <xm:sqref>C35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4">
        <x14:dataValidation type="list" operator="greaterThan" showInputMessage="1" showErrorMessage="1">
          <x14:formula1>
            <xm:f>Konstante!$AR$147:$AR$148</xm:f>
          </x14:formula1>
          <xm:sqref>F43:G43</xm:sqref>
        </x14:dataValidation>
        <x14:dataValidation type="list" showInputMessage="1" showErrorMessage="1">
          <x14:formula1>
            <xm:f>Konstante!$W$142:$W$153</xm:f>
          </x14:formula1>
          <xm:sqref>C27 C30 C33</xm:sqref>
        </x14:dataValidation>
        <x14:dataValidation type="list" operator="greaterThan" allowBlank="1" showInputMessage="1" showErrorMessage="1">
          <x14:formula1>
            <xm:f>Konstante!$C$142:$C$148</xm:f>
          </x14:formula1>
          <xm:sqref>H6</xm:sqref>
        </x14:dataValidation>
        <x14:dataValidation type="list" operator="greaterThan" showInputMessage="1" showErrorMessage="1">
          <x14:formula1>
            <xm:f>Konstante!$F$142:$F$143</xm:f>
          </x14:formula1>
          <xm:sqref>G10:H10</xm:sqref>
        </x14:dataValidation>
        <x14:dataValidation type="list" showInputMessage="1" showErrorMessage="1">
          <x14:formula1>
            <xm:f>Konstante!$F$148:$F$152</xm:f>
          </x14:formula1>
          <xm:sqref>C11:H11</xm:sqref>
        </x14:dataValidation>
        <x14:dataValidation type="list" showInputMessage="1" showErrorMessage="1">
          <x14:formula1>
            <xm:f>Konstante!$I$142:$I$145</xm:f>
          </x14:formula1>
          <xm:sqref>G12:H12</xm:sqref>
        </x14:dataValidation>
        <x14:dataValidation type="list" operator="greaterThan" showInputMessage="1" showErrorMessage="1">
          <x14:formula1>
            <xm:f>Konstante!$O$142:$O$143</xm:f>
          </x14:formula1>
          <xm:sqref>H16</xm:sqref>
        </x14:dataValidation>
        <x14:dataValidation type="list" operator="greaterThan" showInputMessage="1" showErrorMessage="1">
          <x14:formula1>
            <xm:f>Konstante!$AG$142:$AG$144</xm:f>
          </x14:formula1>
          <xm:sqref>E24:H25</xm:sqref>
        </x14:dataValidation>
        <x14:dataValidation type="list" operator="greaterThan" showInputMessage="1" showErrorMessage="1">
          <x14:formula1>
            <xm:f>Konstante!$AG$148:$AG$149</xm:f>
          </x14:formula1>
          <xm:sqref>F38:G38</xm:sqref>
        </x14:dataValidation>
        <x14:dataValidation type="list" operator="greaterThan" showInputMessage="1" showErrorMessage="1">
          <x14:formula1>
            <xm:f>Konstante!$AN$142:$AN$144</xm:f>
          </x14:formula1>
          <xm:sqref>F39:G39</xm:sqref>
        </x14:dataValidation>
        <x14:dataValidation type="list" operator="greaterThan" showInputMessage="1" showErrorMessage="1">
          <x14:formula1>
            <xm:f>Konstante!$AN$147:$AN$148</xm:f>
          </x14:formula1>
          <xm:sqref>F40:G40</xm:sqref>
        </x14:dataValidation>
        <x14:dataValidation type="list" operator="greaterThan" showInputMessage="1" showErrorMessage="1">
          <x14:formula1>
            <xm:f>Konstante!$AN$151:$AN$153</xm:f>
          </x14:formula1>
          <xm:sqref>F41:G41</xm:sqref>
        </x14:dataValidation>
        <x14:dataValidation type="list" operator="greaterThan" showInputMessage="1" showErrorMessage="1">
          <x14:formula1>
            <xm:f>Konstante!$AR$142:$AR$143</xm:f>
          </x14:formula1>
          <xm:sqref>F42:G42</xm:sqref>
        </x14:dataValidation>
        <x14:dataValidation type="list" operator="greaterThan" showInputMessage="1" showErrorMessage="1">
          <x14:formula1>
            <xm:f>Konstante!$O$149:$O$151</xm:f>
          </x14:formula1>
          <xm:sqref>F23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zoomScaleNormal="100" workbookViewId="0">
      <selection activeCell="C22" sqref="C22"/>
    </sheetView>
  </sheetViews>
  <sheetFormatPr baseColWidth="10" defaultRowHeight="15" x14ac:dyDescent="0.25"/>
  <cols>
    <col min="1" max="1" width="4" style="425" customWidth="1"/>
    <col min="2" max="2" width="4.7109375" style="425" customWidth="1"/>
    <col min="3" max="3" width="5.7109375" style="425" customWidth="1"/>
    <col min="4" max="4" width="35.7109375" style="425" customWidth="1"/>
    <col min="5" max="7" width="8.42578125" style="425" customWidth="1"/>
    <col min="8" max="8" width="11.42578125" style="425" customWidth="1"/>
    <col min="9" max="9" width="4.28515625" style="425" customWidth="1"/>
    <col min="10" max="16384" width="11.42578125" style="425"/>
  </cols>
  <sheetData>
    <row r="1" spans="1:21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CELL("ZEILE",B55)</f>
        <v>55</v>
      </c>
    </row>
    <row r="2" spans="1:21" ht="23.25" x14ac:dyDescent="0.25">
      <c r="A2" s="975"/>
      <c r="B2" s="475"/>
      <c r="C2" s="995" t="s">
        <v>828</v>
      </c>
      <c r="D2" s="996"/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CELL("ZEILE",G87)</f>
        <v>87</v>
      </c>
    </row>
    <row r="3" spans="1:21" ht="15.75" x14ac:dyDescent="0.25">
      <c r="A3" s="975"/>
      <c r="B3" s="516"/>
      <c r="C3" s="516"/>
      <c r="D3" s="516"/>
      <c r="E3" s="516"/>
      <c r="F3" s="516"/>
      <c r="G3" s="516"/>
      <c r="H3" s="516"/>
      <c r="I3" s="516"/>
      <c r="K3" s="268" t="s">
        <v>794</v>
      </c>
      <c r="L3" s="236"/>
      <c r="M3" s="236"/>
      <c r="N3" s="268">
        <f>E47</f>
        <v>0</v>
      </c>
    </row>
    <row r="4" spans="1:21" ht="16.5" thickBot="1" x14ac:dyDescent="0.3">
      <c r="A4" s="975"/>
      <c r="B4" s="516"/>
      <c r="C4" s="516" t="s">
        <v>669</v>
      </c>
      <c r="D4" s="516"/>
      <c r="E4" s="516"/>
      <c r="F4" s="516"/>
      <c r="G4" s="516" t="s">
        <v>668</v>
      </c>
      <c r="H4" s="516" t="s">
        <v>670</v>
      </c>
      <c r="I4" s="516"/>
    </row>
    <row r="5" spans="1:21" s="356" customFormat="1" ht="15" customHeight="1" thickBot="1" x14ac:dyDescent="0.25">
      <c r="A5" s="975"/>
      <c r="B5" s="366"/>
      <c r="C5" s="1179" t="str">
        <f>'6.2'!C5:F5</f>
        <v>Messgehilfe</v>
      </c>
      <c r="D5" s="1180"/>
      <c r="E5" s="1180"/>
      <c r="F5" s="1181"/>
      <c r="G5" s="664" t="str">
        <f>'6.2'!G5</f>
        <v>Geh.</v>
      </c>
      <c r="H5" s="666">
        <f>'6.2'!H5</f>
        <v>39.54</v>
      </c>
      <c r="I5" s="667"/>
    </row>
    <row r="6" spans="1:21" s="356" customFormat="1" ht="15" customHeight="1" thickBot="1" x14ac:dyDescent="0.3">
      <c r="A6" s="975"/>
      <c r="B6" s="366"/>
      <c r="C6" s="1179" t="str">
        <f>'6.2'!C6:F6</f>
        <v>Schreibkraft</v>
      </c>
      <c r="D6" s="1180"/>
      <c r="E6" s="1180"/>
      <c r="F6" s="1181"/>
      <c r="G6" s="664" t="str">
        <f>'6.2'!G6</f>
        <v>Sek.</v>
      </c>
      <c r="H6" s="666">
        <f>'6.2'!H6</f>
        <v>51.4</v>
      </c>
      <c r="I6" s="667"/>
      <c r="M6" s="425"/>
      <c r="N6" s="425"/>
      <c r="O6" s="425"/>
      <c r="P6" s="425"/>
    </row>
    <row r="7" spans="1:21" s="356" customFormat="1" ht="15" customHeight="1" thickBot="1" x14ac:dyDescent="0.3">
      <c r="A7" s="975"/>
      <c r="B7" s="366"/>
      <c r="C7" s="1179" t="str">
        <f>'6.2'!C7:F7</f>
        <v>Techniker</v>
      </c>
      <c r="D7" s="1180"/>
      <c r="E7" s="1180"/>
      <c r="F7" s="1181"/>
      <c r="G7" s="664" t="str">
        <f>'6.2'!G7</f>
        <v>Tech.</v>
      </c>
      <c r="H7" s="666">
        <f>'6.2'!H7</f>
        <v>63.26</v>
      </c>
      <c r="I7" s="667"/>
      <c r="M7" s="425"/>
      <c r="N7" s="425"/>
      <c r="O7" s="425"/>
      <c r="P7" s="425"/>
      <c r="R7" s="668"/>
      <c r="S7" s="668"/>
      <c r="T7" s="668"/>
      <c r="U7" s="668"/>
    </row>
    <row r="8" spans="1:21" s="356" customFormat="1" ht="15" customHeight="1" thickBot="1" x14ac:dyDescent="0.25">
      <c r="A8" s="975"/>
      <c r="B8" s="366"/>
      <c r="C8" s="1179" t="str">
        <f>'6.2'!C8:F8</f>
        <v>CAD-Auswertestunde</v>
      </c>
      <c r="D8" s="1180"/>
      <c r="E8" s="1180"/>
      <c r="F8" s="1181"/>
      <c r="G8" s="664" t="str">
        <f>'6.2'!G8</f>
        <v>CAD</v>
      </c>
      <c r="H8" s="666">
        <f>'6.2'!H8</f>
        <v>75.260000000000005</v>
      </c>
      <c r="I8" s="667"/>
      <c r="R8" s="668"/>
      <c r="S8" s="668"/>
      <c r="T8" s="668"/>
      <c r="U8" s="668"/>
    </row>
    <row r="9" spans="1:21" s="356" customFormat="1" ht="15" customHeight="1" thickBot="1" x14ac:dyDescent="0.25">
      <c r="A9" s="975"/>
      <c r="B9" s="534"/>
      <c r="C9" s="1179" t="str">
        <f>'6.2'!C9:F9</f>
        <v>Ingenieur</v>
      </c>
      <c r="D9" s="1180"/>
      <c r="E9" s="1180"/>
      <c r="F9" s="1181"/>
      <c r="G9" s="664" t="str">
        <f>'6.2'!G9</f>
        <v>Ing.</v>
      </c>
      <c r="H9" s="666">
        <f>'6.2'!H9</f>
        <v>79.08</v>
      </c>
      <c r="I9" s="534"/>
      <c r="R9" s="668"/>
      <c r="S9" s="668"/>
      <c r="T9" s="668"/>
      <c r="U9" s="668"/>
    </row>
    <row r="10" spans="1:21" s="356" customFormat="1" ht="15" customHeight="1" thickBot="1" x14ac:dyDescent="0.25">
      <c r="A10" s="975"/>
      <c r="B10" s="534"/>
      <c r="C10" s="1179" t="str">
        <f>'6.2'!C10:F10</f>
        <v>qualifizierter Ingenieur (Klasse V)</v>
      </c>
      <c r="D10" s="1180"/>
      <c r="E10" s="1180"/>
      <c r="F10" s="1181"/>
      <c r="G10" s="664" t="str">
        <f>'6.2'!G10</f>
        <v>Ing. V</v>
      </c>
      <c r="H10" s="666">
        <f>'6.2'!H10</f>
        <v>90.94</v>
      </c>
      <c r="I10" s="534"/>
      <c r="O10" s="668"/>
      <c r="P10" s="668"/>
      <c r="R10" s="668"/>
      <c r="S10" s="668"/>
      <c r="T10" s="668"/>
      <c r="U10" s="668"/>
    </row>
    <row r="11" spans="1:21" s="356" customFormat="1" ht="15" customHeight="1" thickBot="1" x14ac:dyDescent="0.3">
      <c r="A11" s="975"/>
      <c r="B11" s="534"/>
      <c r="C11" s="1179" t="str">
        <f>'6.2'!C11:F11</f>
        <v>qualifizierter Ingenieur (Klasse VI)</v>
      </c>
      <c r="D11" s="1180"/>
      <c r="E11" s="1180"/>
      <c r="F11" s="1181"/>
      <c r="G11" s="664" t="str">
        <f>'6.2'!G11</f>
        <v>Ing. VII</v>
      </c>
      <c r="H11" s="666">
        <f>'6.2'!H11</f>
        <v>98.85</v>
      </c>
      <c r="I11" s="534"/>
      <c r="K11" s="421"/>
      <c r="L11" s="425"/>
      <c r="O11" s="668"/>
      <c r="P11" s="668"/>
      <c r="R11" s="668"/>
      <c r="S11" s="668"/>
      <c r="T11" s="668"/>
      <c r="U11" s="668"/>
    </row>
    <row r="12" spans="1:21" s="356" customFormat="1" ht="15" customHeight="1" thickBot="1" x14ac:dyDescent="0.3">
      <c r="A12" s="975"/>
      <c r="B12" s="534"/>
      <c r="C12" s="1179" t="str">
        <f>'6.2'!C12:F12</f>
        <v>qualifizierter Ingenieur (Klasse VII)</v>
      </c>
      <c r="D12" s="1180"/>
      <c r="E12" s="1180"/>
      <c r="F12" s="1181"/>
      <c r="G12" s="664" t="str">
        <f>'6.2'!G12</f>
        <v>Ing. VIII</v>
      </c>
      <c r="H12" s="666">
        <f>'6.2'!H12</f>
        <v>118.62</v>
      </c>
      <c r="I12" s="534"/>
      <c r="K12" s="425"/>
      <c r="L12" s="425"/>
      <c r="O12" s="668"/>
      <c r="P12" s="668"/>
      <c r="R12" s="668"/>
      <c r="S12" s="668"/>
      <c r="T12" s="668"/>
      <c r="U12" s="668"/>
    </row>
    <row r="13" spans="1:21" s="356" customFormat="1" ht="15" customHeight="1" thickBot="1" x14ac:dyDescent="0.3">
      <c r="A13" s="975"/>
      <c r="B13" s="534"/>
      <c r="C13" s="1179" t="str">
        <f>'6.2'!C13:F13</f>
        <v>Ziviltechnikerleistung</v>
      </c>
      <c r="D13" s="1180"/>
      <c r="E13" s="1180"/>
      <c r="F13" s="1181"/>
      <c r="G13" s="664" t="str">
        <f>'6.2'!G13</f>
        <v>ZT</v>
      </c>
      <c r="H13" s="666">
        <f>'6.2'!H13</f>
        <v>158.16</v>
      </c>
      <c r="I13" s="534"/>
      <c r="L13" s="722"/>
      <c r="O13" s="668"/>
      <c r="P13" s="668"/>
      <c r="R13" s="668"/>
      <c r="S13" s="668"/>
      <c r="T13" s="668"/>
      <c r="U13" s="668"/>
    </row>
    <row r="14" spans="1:21" s="356" customFormat="1" ht="15" customHeight="1" thickBot="1" x14ac:dyDescent="0.3">
      <c r="A14" s="975"/>
      <c r="B14" s="534"/>
      <c r="C14" s="1179" t="str">
        <f>'6.2'!C14:F14</f>
        <v>1-Mann-Partie inkl. Gerät</v>
      </c>
      <c r="D14" s="1180"/>
      <c r="E14" s="1180"/>
      <c r="F14" s="1181"/>
      <c r="G14" s="664" t="str">
        <f>'6.2'!G14</f>
        <v>1MP</v>
      </c>
      <c r="H14" s="666">
        <f>'6.2'!H14</f>
        <v>94.89</v>
      </c>
      <c r="I14" s="534"/>
      <c r="L14" s="425"/>
      <c r="O14" s="668"/>
      <c r="P14" s="668"/>
      <c r="Q14" s="668"/>
      <c r="R14" s="668"/>
      <c r="S14" s="668"/>
      <c r="T14" s="668"/>
      <c r="U14" s="668"/>
    </row>
    <row r="15" spans="1:21" s="356" customFormat="1" ht="15" customHeight="1" thickBot="1" x14ac:dyDescent="0.25">
      <c r="A15" s="975"/>
      <c r="B15" s="534"/>
      <c r="C15" s="1179" t="str">
        <f>'6.2'!C15:F15</f>
        <v>2-Mann-Partie inkl. Gerät</v>
      </c>
      <c r="D15" s="1180"/>
      <c r="E15" s="1180"/>
      <c r="F15" s="1181"/>
      <c r="G15" s="664" t="str">
        <f>'6.2'!G15</f>
        <v>2MP</v>
      </c>
      <c r="H15" s="666">
        <f>'6.2'!H15</f>
        <v>138.38999999999999</v>
      </c>
      <c r="I15" s="534"/>
      <c r="L15" s="669"/>
      <c r="O15" s="668"/>
      <c r="P15" s="668"/>
      <c r="Q15" s="668"/>
      <c r="R15" s="668"/>
      <c r="S15" s="668"/>
      <c r="T15" s="668"/>
      <c r="U15" s="668"/>
    </row>
    <row r="16" spans="1:21" s="356" customFormat="1" ht="15" customHeight="1" thickBot="1" x14ac:dyDescent="0.3">
      <c r="A16" s="975"/>
      <c r="B16" s="534"/>
      <c r="C16" s="1179" t="str">
        <f>'6.2'!C16:F16</f>
        <v>Einsatzpauschale (20km An/Abfahrt)</v>
      </c>
      <c r="D16" s="1180"/>
      <c r="E16" s="1180"/>
      <c r="F16" s="1181"/>
      <c r="G16" s="664" t="str">
        <f>'6.2'!G16</f>
        <v>Einsatz</v>
      </c>
      <c r="H16" s="666">
        <f>'6.2'!H16</f>
        <v>148.79</v>
      </c>
      <c r="I16" s="534"/>
      <c r="K16" s="421"/>
      <c r="L16" s="669"/>
      <c r="M16" s="668"/>
      <c r="N16" s="668"/>
      <c r="O16" s="668"/>
      <c r="P16" s="668"/>
      <c r="Q16" s="668"/>
      <c r="R16" s="668"/>
      <c r="S16" s="668"/>
      <c r="T16" s="668"/>
      <c r="U16" s="668"/>
    </row>
    <row r="17" spans="1:21" s="356" customFormat="1" ht="15" customHeight="1" thickBot="1" x14ac:dyDescent="0.3">
      <c r="A17" s="975"/>
      <c r="B17" s="534"/>
      <c r="C17" s="1179" t="str">
        <f>'6.2'!C17:F17</f>
        <v>Instrument (Messgerät) oder CAD-Ausrüstung</v>
      </c>
      <c r="D17" s="945"/>
      <c r="E17" s="945"/>
      <c r="F17" s="946"/>
      <c r="G17" s="664" t="str">
        <f>'6.2'!G17</f>
        <v>Instr/CAD</v>
      </c>
      <c r="H17" s="666">
        <f>'6.2'!H17</f>
        <v>11.86</v>
      </c>
      <c r="I17" s="534"/>
      <c r="L17" s="425"/>
      <c r="O17" s="668"/>
      <c r="P17" s="668"/>
      <c r="Q17" s="668"/>
      <c r="R17" s="668"/>
      <c r="S17" s="668"/>
      <c r="T17" s="668"/>
      <c r="U17" s="668"/>
    </row>
    <row r="18" spans="1:21" s="356" customFormat="1" ht="15" customHeight="1" thickBot="1" x14ac:dyDescent="0.3">
      <c r="A18" s="975"/>
      <c r="B18" s="534"/>
      <c r="C18" s="1179" t="str">
        <f>'6.2'!C18:F18</f>
        <v>Aufschlag für höherwertiges Instrument</v>
      </c>
      <c r="D18" s="1180"/>
      <c r="E18" s="1180"/>
      <c r="F18" s="1181"/>
      <c r="G18" s="664" t="str">
        <f>'6.2'!G18</f>
        <v>Instr+</v>
      </c>
      <c r="H18" s="666">
        <f>'6.2'!H18</f>
        <v>3.95</v>
      </c>
      <c r="I18" s="534"/>
      <c r="L18" s="425"/>
      <c r="M18" s="668"/>
      <c r="N18" s="668"/>
      <c r="O18" s="668"/>
      <c r="P18" s="668"/>
      <c r="Q18" s="668"/>
      <c r="R18" s="668"/>
      <c r="S18" s="668"/>
      <c r="T18" s="668"/>
      <c r="U18" s="668"/>
    </row>
    <row r="19" spans="1:21" s="356" customFormat="1" ht="15" customHeight="1" x14ac:dyDescent="0.25">
      <c r="A19" s="975"/>
      <c r="B19" s="534"/>
      <c r="C19" s="534"/>
      <c r="D19" s="534"/>
      <c r="E19" s="534"/>
      <c r="F19" s="534"/>
      <c r="G19" s="534"/>
      <c r="H19" s="534"/>
      <c r="I19" s="534"/>
      <c r="L19" s="425"/>
      <c r="M19" s="425"/>
      <c r="N19" s="668"/>
      <c r="O19" s="668"/>
      <c r="P19" s="668"/>
      <c r="Q19" s="668"/>
      <c r="R19" s="668"/>
      <c r="S19" s="668"/>
      <c r="T19" s="668"/>
      <c r="U19" s="668"/>
    </row>
    <row r="20" spans="1:21" s="356" customFormat="1" ht="15" customHeight="1" x14ac:dyDescent="0.25">
      <c r="A20" s="975"/>
      <c r="B20" s="534"/>
      <c r="C20" s="534"/>
      <c r="D20" s="534"/>
      <c r="E20" s="534"/>
      <c r="F20" s="534"/>
      <c r="G20" s="534"/>
      <c r="H20" s="534"/>
      <c r="I20" s="534"/>
      <c r="K20" s="421"/>
      <c r="L20" s="425"/>
      <c r="M20" s="425"/>
      <c r="N20" s="668"/>
      <c r="O20" s="668"/>
      <c r="P20" s="668"/>
      <c r="Q20" s="668"/>
      <c r="R20" s="668"/>
      <c r="S20" s="668"/>
      <c r="T20" s="668"/>
      <c r="U20" s="668"/>
    </row>
    <row r="21" spans="1:21" s="356" customFormat="1" ht="15" customHeight="1" thickBot="1" x14ac:dyDescent="0.3">
      <c r="A21" s="975"/>
      <c r="B21" s="534"/>
      <c r="C21" s="534" t="s">
        <v>690</v>
      </c>
      <c r="D21" s="534" t="s">
        <v>691</v>
      </c>
      <c r="E21" s="672" t="s">
        <v>689</v>
      </c>
      <c r="F21" s="672" t="s">
        <v>694</v>
      </c>
      <c r="G21" s="672" t="s">
        <v>670</v>
      </c>
      <c r="H21" s="672" t="s">
        <v>688</v>
      </c>
      <c r="I21" s="534"/>
      <c r="K21" s="668"/>
      <c r="L21" s="425"/>
      <c r="M21" s="425"/>
      <c r="N21" s="668"/>
      <c r="O21" s="668"/>
      <c r="P21" s="668"/>
    </row>
    <row r="22" spans="1:21" ht="16.5" thickBot="1" x14ac:dyDescent="0.3">
      <c r="A22" s="975"/>
      <c r="B22" s="92"/>
      <c r="C22" s="731"/>
      <c r="D22" s="685"/>
      <c r="E22" s="665"/>
      <c r="F22" s="665"/>
      <c r="G22" s="684" t="str">
        <f>IF(E22&lt;&gt;"",VLOOKUP(E22,G$5:H$18,2,FALSE),"")</f>
        <v/>
      </c>
      <c r="H22" s="684" t="str">
        <f t="shared" ref="H22:H41" si="0">IF(AND(E22&lt;&gt;"",F22&lt;&gt;"",F22&gt;0),F22*G22,"")</f>
        <v/>
      </c>
      <c r="I22" s="93"/>
      <c r="K22" s="513"/>
      <c r="L22" s="513"/>
      <c r="N22" s="513"/>
      <c r="O22" s="513"/>
      <c r="P22" s="513"/>
    </row>
    <row r="23" spans="1:21" ht="16.5" thickBot="1" x14ac:dyDescent="0.3">
      <c r="A23" s="975"/>
      <c r="B23" s="516"/>
      <c r="C23" s="731"/>
      <c r="D23" s="685"/>
      <c r="E23" s="665"/>
      <c r="F23" s="665"/>
      <c r="G23" s="684" t="str">
        <f t="shared" ref="G23:G41" si="1">IF(E23&lt;&gt;"",VLOOKUP(E23,G$5:H$18,2,FALSE),"")</f>
        <v/>
      </c>
      <c r="H23" s="684" t="str">
        <f t="shared" si="0"/>
        <v/>
      </c>
      <c r="I23" s="516"/>
      <c r="K23" s="513"/>
      <c r="L23" s="513"/>
      <c r="N23" s="513"/>
      <c r="O23" s="513"/>
      <c r="P23" s="513"/>
    </row>
    <row r="24" spans="1:21" ht="16.5" thickBot="1" x14ac:dyDescent="0.3">
      <c r="A24" s="975"/>
      <c r="B24" s="516"/>
      <c r="C24" s="731"/>
      <c r="D24" s="685"/>
      <c r="E24" s="665"/>
      <c r="F24" s="665"/>
      <c r="G24" s="684" t="str">
        <f t="shared" si="1"/>
        <v/>
      </c>
      <c r="H24" s="684" t="str">
        <f t="shared" si="0"/>
        <v/>
      </c>
      <c r="I24" s="516"/>
      <c r="K24" s="513"/>
      <c r="L24" s="513"/>
      <c r="M24" s="518"/>
      <c r="N24" s="513"/>
      <c r="O24" s="513"/>
      <c r="P24" s="513"/>
    </row>
    <row r="25" spans="1:21" ht="16.5" thickBot="1" x14ac:dyDescent="0.3">
      <c r="A25" s="975"/>
      <c r="B25" s="516"/>
      <c r="C25" s="731"/>
      <c r="D25" s="685"/>
      <c r="E25" s="665"/>
      <c r="F25" s="665"/>
      <c r="G25" s="684" t="str">
        <f t="shared" si="1"/>
        <v/>
      </c>
      <c r="H25" s="684" t="str">
        <f t="shared" si="0"/>
        <v/>
      </c>
      <c r="I25" s="516"/>
      <c r="K25" s="513"/>
      <c r="L25" s="723"/>
      <c r="M25" s="518"/>
      <c r="N25" s="513"/>
      <c r="O25" s="513"/>
      <c r="P25" s="513"/>
    </row>
    <row r="26" spans="1:21" ht="16.5" thickBot="1" x14ac:dyDescent="0.3">
      <c r="A26" s="975"/>
      <c r="B26" s="516"/>
      <c r="C26" s="731"/>
      <c r="D26" s="685"/>
      <c r="E26" s="665"/>
      <c r="F26" s="665"/>
      <c r="G26" s="684" t="str">
        <f t="shared" si="1"/>
        <v/>
      </c>
      <c r="H26" s="684" t="str">
        <f t="shared" si="0"/>
        <v/>
      </c>
      <c r="I26" s="516"/>
      <c r="K26" s="513"/>
      <c r="L26" s="513"/>
      <c r="M26" s="518"/>
      <c r="N26" s="513"/>
      <c r="O26" s="513"/>
      <c r="P26" s="513"/>
    </row>
    <row r="27" spans="1:21" ht="16.5" thickBot="1" x14ac:dyDescent="0.3">
      <c r="A27" s="975"/>
      <c r="B27" s="516"/>
      <c r="C27" s="731"/>
      <c r="D27" s="685"/>
      <c r="E27" s="665"/>
      <c r="F27" s="665"/>
      <c r="G27" s="684" t="str">
        <f t="shared" si="1"/>
        <v/>
      </c>
      <c r="H27" s="684" t="str">
        <f t="shared" si="0"/>
        <v/>
      </c>
      <c r="I27" s="516"/>
      <c r="K27" s="513"/>
      <c r="L27" s="513"/>
      <c r="M27" s="518"/>
      <c r="N27" s="513"/>
      <c r="O27" s="513"/>
      <c r="P27" s="513"/>
    </row>
    <row r="28" spans="1:21" ht="16.5" thickBot="1" x14ac:dyDescent="0.3">
      <c r="A28" s="975"/>
      <c r="B28" s="516"/>
      <c r="C28" s="731"/>
      <c r="D28" s="685"/>
      <c r="E28" s="665"/>
      <c r="F28" s="665"/>
      <c r="G28" s="684" t="str">
        <f t="shared" si="1"/>
        <v/>
      </c>
      <c r="H28" s="684" t="str">
        <f t="shared" si="0"/>
        <v/>
      </c>
      <c r="I28" s="516"/>
      <c r="K28" s="513"/>
      <c r="L28" s="513"/>
      <c r="M28" s="518"/>
      <c r="N28" s="513"/>
      <c r="O28" s="513"/>
      <c r="P28" s="513"/>
    </row>
    <row r="29" spans="1:21" ht="16.5" thickBot="1" x14ac:dyDescent="0.3">
      <c r="A29" s="975"/>
      <c r="B29" s="516"/>
      <c r="C29" s="731"/>
      <c r="D29" s="685"/>
      <c r="E29" s="665"/>
      <c r="F29" s="665"/>
      <c r="G29" s="684" t="str">
        <f t="shared" si="1"/>
        <v/>
      </c>
      <c r="H29" s="684" t="str">
        <f t="shared" si="0"/>
        <v/>
      </c>
      <c r="I29" s="516"/>
      <c r="K29" s="513"/>
      <c r="L29" s="513"/>
      <c r="M29" s="518"/>
      <c r="N29" s="513"/>
      <c r="O29" s="513"/>
      <c r="P29" s="513"/>
    </row>
    <row r="30" spans="1:21" ht="16.5" thickBot="1" x14ac:dyDescent="0.3">
      <c r="A30" s="975"/>
      <c r="B30" s="516"/>
      <c r="C30" s="731"/>
      <c r="D30" s="685"/>
      <c r="E30" s="665"/>
      <c r="F30" s="665"/>
      <c r="G30" s="684" t="str">
        <f t="shared" si="1"/>
        <v/>
      </c>
      <c r="H30" s="684" t="str">
        <f t="shared" si="0"/>
        <v/>
      </c>
      <c r="I30" s="516"/>
      <c r="K30" s="513"/>
      <c r="L30" s="513"/>
      <c r="M30" s="518"/>
      <c r="N30" s="513"/>
      <c r="O30" s="513"/>
      <c r="P30" s="513"/>
    </row>
    <row r="31" spans="1:21" ht="16.5" thickBot="1" x14ac:dyDescent="0.3">
      <c r="A31" s="975"/>
      <c r="B31" s="516"/>
      <c r="C31" s="731"/>
      <c r="D31" s="685"/>
      <c r="E31" s="665"/>
      <c r="F31" s="665"/>
      <c r="G31" s="684" t="str">
        <f t="shared" si="1"/>
        <v/>
      </c>
      <c r="H31" s="684" t="str">
        <f t="shared" si="0"/>
        <v/>
      </c>
      <c r="I31" s="516"/>
      <c r="K31" s="513"/>
      <c r="L31" s="513"/>
      <c r="M31" s="518"/>
      <c r="N31" s="513"/>
      <c r="O31" s="513"/>
      <c r="P31" s="513"/>
    </row>
    <row r="32" spans="1:21" ht="16.5" thickBot="1" x14ac:dyDescent="0.3">
      <c r="A32" s="975"/>
      <c r="B32" s="516"/>
      <c r="C32" s="731"/>
      <c r="D32" s="685"/>
      <c r="E32" s="665"/>
      <c r="F32" s="665"/>
      <c r="G32" s="684" t="str">
        <f t="shared" si="1"/>
        <v/>
      </c>
      <c r="H32" s="684" t="str">
        <f t="shared" si="0"/>
        <v/>
      </c>
      <c r="I32" s="516"/>
      <c r="K32" s="513"/>
      <c r="L32" s="513"/>
      <c r="M32" s="518"/>
      <c r="N32" s="513"/>
      <c r="O32" s="513"/>
      <c r="P32" s="513"/>
    </row>
    <row r="33" spans="1:16" ht="16.5" thickBot="1" x14ac:dyDescent="0.3">
      <c r="A33" s="975"/>
      <c r="B33" s="516"/>
      <c r="C33" s="731"/>
      <c r="D33" s="685"/>
      <c r="E33" s="665"/>
      <c r="F33" s="665"/>
      <c r="G33" s="684" t="str">
        <f t="shared" si="1"/>
        <v/>
      </c>
      <c r="H33" s="684" t="str">
        <f t="shared" si="0"/>
        <v/>
      </c>
      <c r="I33" s="516"/>
      <c r="K33" s="513"/>
      <c r="L33" s="513"/>
      <c r="M33" s="518"/>
      <c r="N33" s="513"/>
      <c r="O33" s="513"/>
      <c r="P33" s="513"/>
    </row>
    <row r="34" spans="1:16" ht="16.5" thickBot="1" x14ac:dyDescent="0.3">
      <c r="A34" s="975"/>
      <c r="B34" s="516"/>
      <c r="C34" s="731"/>
      <c r="D34" s="685"/>
      <c r="E34" s="665"/>
      <c r="F34" s="665"/>
      <c r="G34" s="684" t="str">
        <f t="shared" si="1"/>
        <v/>
      </c>
      <c r="H34" s="684" t="str">
        <f t="shared" si="0"/>
        <v/>
      </c>
      <c r="I34" s="516"/>
      <c r="K34" s="513"/>
      <c r="L34" s="513"/>
      <c r="M34" s="518"/>
      <c r="N34" s="513"/>
      <c r="O34" s="513"/>
      <c r="P34" s="513"/>
    </row>
    <row r="35" spans="1:16" ht="16.5" thickBot="1" x14ac:dyDescent="0.3">
      <c r="A35" s="975"/>
      <c r="B35" s="516"/>
      <c r="C35" s="731"/>
      <c r="D35" s="685"/>
      <c r="E35" s="665"/>
      <c r="F35" s="665"/>
      <c r="G35" s="684" t="str">
        <f t="shared" si="1"/>
        <v/>
      </c>
      <c r="H35" s="684" t="str">
        <f t="shared" si="0"/>
        <v/>
      </c>
      <c r="I35" s="516"/>
      <c r="K35" s="513"/>
      <c r="L35" s="513"/>
      <c r="M35" s="518"/>
      <c r="N35" s="513"/>
      <c r="O35" s="513"/>
      <c r="P35" s="513"/>
    </row>
    <row r="36" spans="1:16" ht="16.5" thickBot="1" x14ac:dyDescent="0.3">
      <c r="A36" s="975"/>
      <c r="B36" s="516"/>
      <c r="C36" s="731"/>
      <c r="D36" s="685"/>
      <c r="E36" s="665"/>
      <c r="F36" s="665"/>
      <c r="G36" s="684" t="str">
        <f t="shared" si="1"/>
        <v/>
      </c>
      <c r="H36" s="684" t="str">
        <f t="shared" si="0"/>
        <v/>
      </c>
      <c r="I36" s="516"/>
      <c r="K36" s="513"/>
      <c r="L36" s="513"/>
      <c r="M36" s="518"/>
      <c r="N36" s="513"/>
      <c r="O36" s="513"/>
      <c r="P36" s="513"/>
    </row>
    <row r="37" spans="1:16" ht="16.5" thickBot="1" x14ac:dyDescent="0.3">
      <c r="A37" s="975"/>
      <c r="B37" s="516"/>
      <c r="C37" s="731"/>
      <c r="D37" s="685"/>
      <c r="E37" s="665"/>
      <c r="F37" s="665"/>
      <c r="G37" s="684" t="str">
        <f t="shared" si="1"/>
        <v/>
      </c>
      <c r="H37" s="684" t="str">
        <f t="shared" si="0"/>
        <v/>
      </c>
      <c r="I37" s="516"/>
      <c r="K37" s="513"/>
      <c r="L37" s="513"/>
      <c r="M37" s="518"/>
      <c r="N37" s="513"/>
      <c r="O37" s="513"/>
      <c r="P37" s="513"/>
    </row>
    <row r="38" spans="1:16" ht="16.5" thickBot="1" x14ac:dyDescent="0.3">
      <c r="A38" s="975"/>
      <c r="B38" s="516"/>
      <c r="C38" s="731"/>
      <c r="D38" s="685"/>
      <c r="E38" s="665"/>
      <c r="F38" s="665"/>
      <c r="G38" s="684" t="str">
        <f t="shared" si="1"/>
        <v/>
      </c>
      <c r="H38" s="684" t="str">
        <f t="shared" si="0"/>
        <v/>
      </c>
      <c r="I38" s="516"/>
      <c r="K38" s="513"/>
      <c r="L38" s="513"/>
      <c r="M38" s="518"/>
      <c r="N38" s="513"/>
      <c r="O38" s="513"/>
      <c r="P38" s="513"/>
    </row>
    <row r="39" spans="1:16" ht="16.5" thickBot="1" x14ac:dyDescent="0.3">
      <c r="A39" s="975"/>
      <c r="B39" s="516"/>
      <c r="C39" s="731"/>
      <c r="D39" s="685"/>
      <c r="E39" s="665"/>
      <c r="F39" s="665"/>
      <c r="G39" s="684" t="str">
        <f t="shared" si="1"/>
        <v/>
      </c>
      <c r="H39" s="684" t="str">
        <f t="shared" si="0"/>
        <v/>
      </c>
      <c r="I39" s="516"/>
      <c r="K39" s="513"/>
      <c r="L39" s="513"/>
      <c r="M39" s="518"/>
      <c r="N39" s="513"/>
      <c r="O39" s="513"/>
      <c r="P39" s="513"/>
    </row>
    <row r="40" spans="1:16" ht="16.5" thickBot="1" x14ac:dyDescent="0.3">
      <c r="A40" s="975"/>
      <c r="B40" s="516"/>
      <c r="C40" s="731"/>
      <c r="D40" s="685"/>
      <c r="E40" s="665"/>
      <c r="F40" s="665"/>
      <c r="G40" s="684" t="str">
        <f t="shared" si="1"/>
        <v/>
      </c>
      <c r="H40" s="684" t="str">
        <f t="shared" si="0"/>
        <v/>
      </c>
      <c r="I40" s="516"/>
      <c r="K40" s="513"/>
      <c r="L40" s="513"/>
      <c r="M40" s="518"/>
      <c r="N40" s="513"/>
      <c r="O40" s="513"/>
      <c r="P40" s="513"/>
    </row>
    <row r="41" spans="1:16" ht="16.5" thickBot="1" x14ac:dyDescent="0.3">
      <c r="A41" s="975"/>
      <c r="B41" s="516"/>
      <c r="C41" s="731"/>
      <c r="D41" s="685"/>
      <c r="E41" s="665"/>
      <c r="F41" s="665"/>
      <c r="G41" s="684" t="str">
        <f t="shared" si="1"/>
        <v/>
      </c>
      <c r="H41" s="684" t="str">
        <f t="shared" si="0"/>
        <v/>
      </c>
      <c r="I41" s="516"/>
      <c r="K41" s="513"/>
      <c r="L41" s="513"/>
      <c r="M41" s="518"/>
      <c r="N41" s="513"/>
      <c r="O41" s="513"/>
      <c r="P41" s="513"/>
    </row>
    <row r="42" spans="1:16" ht="16.5" thickBot="1" x14ac:dyDescent="0.3">
      <c r="A42" s="975"/>
      <c r="B42" s="516"/>
      <c r="C42" s="516"/>
      <c r="D42" s="516"/>
      <c r="E42" s="516"/>
      <c r="F42" s="516"/>
      <c r="G42" s="516"/>
      <c r="H42" s="686" t="str">
        <f>IF(VSK&lt;&gt;0, SUM(H22:H41),"")</f>
        <v/>
      </c>
      <c r="I42" s="516"/>
      <c r="K42" s="513"/>
      <c r="L42" s="513"/>
      <c r="M42" s="518"/>
      <c r="N42" s="513"/>
      <c r="O42" s="513"/>
      <c r="P42" s="513"/>
    </row>
    <row r="43" spans="1:16" ht="15.75" x14ac:dyDescent="0.25">
      <c r="A43" s="975"/>
      <c r="B43" s="475"/>
      <c r="C43" s="486"/>
      <c r="D43" s="487"/>
      <c r="E43" s="486"/>
      <c r="F43" s="488"/>
      <c r="G43" s="486"/>
      <c r="H43" s="488"/>
      <c r="I43" s="476"/>
      <c r="K43" s="513"/>
      <c r="L43" s="513"/>
      <c r="M43" s="518"/>
      <c r="N43" s="513"/>
      <c r="O43" s="513"/>
      <c r="P43" s="513"/>
    </row>
    <row r="44" spans="1:16" ht="15.75" x14ac:dyDescent="0.25">
      <c r="A44" s="975"/>
      <c r="B44" s="475"/>
      <c r="C44" s="476" t="s">
        <v>34</v>
      </c>
      <c r="D44" s="476"/>
      <c r="E44" s="489"/>
      <c r="F44" s="1030"/>
      <c r="G44" s="1031"/>
      <c r="H44" s="1032"/>
      <c r="I44" s="476"/>
      <c r="K44" s="513"/>
      <c r="L44" s="513"/>
      <c r="M44" s="513"/>
      <c r="N44" s="513"/>
      <c r="O44" s="513"/>
      <c r="P44" s="513"/>
    </row>
    <row r="45" spans="1:16" ht="15.75" x14ac:dyDescent="0.25">
      <c r="A45" s="975"/>
      <c r="B45" s="475"/>
      <c r="C45" s="476" t="s">
        <v>826</v>
      </c>
      <c r="D45" s="476"/>
      <c r="E45" s="732"/>
      <c r="F45" s="1000"/>
      <c r="G45" s="1043"/>
      <c r="H45" s="1001"/>
      <c r="I45" s="476"/>
    </row>
    <row r="46" spans="1:16" ht="15.75" x14ac:dyDescent="0.25">
      <c r="A46" s="975"/>
      <c r="B46" s="475"/>
      <c r="C46" s="476"/>
      <c r="D46" s="476"/>
      <c r="E46" s="491"/>
      <c r="F46" s="476"/>
      <c r="G46" s="475"/>
      <c r="H46" s="475"/>
      <c r="I46" s="474"/>
    </row>
    <row r="47" spans="1:16" ht="21" x14ac:dyDescent="0.35">
      <c r="A47" s="975"/>
      <c r="B47" s="474"/>
      <c r="C47" s="492" t="str">
        <f>IF(VSK=0, "UNVOLLSTÄNDIG AUSGEFÜLLT!","")</f>
        <v>UNVOLLSTÄNDIG AUSGEFÜLLT!</v>
      </c>
      <c r="D47" s="474"/>
      <c r="E47" s="673">
        <f>IF(SUM(H22:H41)&gt;0,1,0)</f>
        <v>0</v>
      </c>
      <c r="F47" s="474"/>
      <c r="G47" s="999" t="str">
        <f>IF(VSK&lt;&gt;0, G87,"")</f>
        <v/>
      </c>
      <c r="H47" s="999"/>
      <c r="I47" s="474"/>
      <c r="P47" s="513"/>
    </row>
    <row r="48" spans="1:16" ht="15.75" x14ac:dyDescent="0.25">
      <c r="A48" s="975"/>
      <c r="B48" s="474"/>
      <c r="C48" s="474"/>
      <c r="D48" s="474"/>
      <c r="E48" s="474"/>
      <c r="F48" s="474"/>
      <c r="G48" s="474"/>
      <c r="H48" s="474"/>
      <c r="I48" s="474"/>
    </row>
    <row r="49" spans="1:15" ht="15" customHeight="1" x14ac:dyDescent="0.25">
      <c r="A49" s="973" t="s">
        <v>72</v>
      </c>
    </row>
    <row r="50" spans="1:15" x14ac:dyDescent="0.25">
      <c r="A50" s="973"/>
      <c r="B50" s="974" t="str">
        <f>CONCATENATE(Gesamt!C2, ": ", Gesamt!E2)</f>
        <v xml:space="preserve">Projekt: </v>
      </c>
      <c r="C50" s="974"/>
      <c r="D50" s="974"/>
      <c r="E50" s="974"/>
      <c r="F50" s="974"/>
      <c r="G50" s="974"/>
      <c r="H50" s="974"/>
      <c r="I50" s="974"/>
    </row>
    <row r="51" spans="1:15" x14ac:dyDescent="0.25">
      <c r="A51" s="973"/>
      <c r="B51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51" s="969"/>
      <c r="D51" s="969"/>
      <c r="E51" s="969"/>
      <c r="F51" s="969"/>
      <c r="G51" s="969"/>
      <c r="H51" s="969"/>
      <c r="I51" s="969"/>
    </row>
    <row r="52" spans="1:15" x14ac:dyDescent="0.25">
      <c r="A52" s="973"/>
      <c r="B52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52" s="969"/>
      <c r="D52" s="969"/>
      <c r="E52" s="969"/>
      <c r="F52" s="969"/>
      <c r="G52" s="969"/>
      <c r="H52" s="969"/>
      <c r="I52" s="969"/>
    </row>
    <row r="53" spans="1:15" x14ac:dyDescent="0.25">
      <c r="A53" s="973"/>
      <c r="B53" s="969" t="s">
        <v>42</v>
      </c>
      <c r="C53" s="969"/>
      <c r="D53" s="969"/>
      <c r="E53" s="969"/>
      <c r="F53" s="969"/>
      <c r="G53" s="969"/>
      <c r="H53" s="969"/>
      <c r="I53" s="969"/>
    </row>
    <row r="54" spans="1:15" x14ac:dyDescent="0.25">
      <c r="A54" s="973"/>
    </row>
    <row r="55" spans="1:15" ht="18.75" x14ac:dyDescent="0.25">
      <c r="A55" s="973"/>
      <c r="B55" s="968" t="str">
        <f>C2</f>
        <v>LASERSCANNING</v>
      </c>
      <c r="C55" s="968"/>
      <c r="D55" s="968"/>
      <c r="E55" s="968"/>
      <c r="F55" s="968"/>
      <c r="G55" s="968"/>
      <c r="H55" s="968"/>
      <c r="I55" s="968"/>
    </row>
    <row r="56" spans="1:15" x14ac:dyDescent="0.25">
      <c r="A56" s="973"/>
    </row>
    <row r="57" spans="1:15" x14ac:dyDescent="0.25">
      <c r="A57" s="973"/>
      <c r="C57" s="425" t="str">
        <f>CONCATENATE("LB_VG, Pos. 4.14, ",C2)</f>
        <v>LB_VG, Pos. 4.14, LASERSCANNING</v>
      </c>
    </row>
    <row r="58" spans="1:15" x14ac:dyDescent="0.25">
      <c r="A58" s="973"/>
    </row>
    <row r="59" spans="1:15" x14ac:dyDescent="0.25">
      <c r="A59" s="973"/>
      <c r="C59" s="425" t="s">
        <v>46</v>
      </c>
      <c r="E59" s="367">
        <f>Gesamt!E14</f>
        <v>79.08</v>
      </c>
    </row>
    <row r="60" spans="1:15" x14ac:dyDescent="0.25">
      <c r="A60" s="973"/>
      <c r="C60" s="444"/>
    </row>
    <row r="61" spans="1:15" x14ac:dyDescent="0.25">
      <c r="A61" s="973"/>
      <c r="C61" s="678" t="s">
        <v>690</v>
      </c>
      <c r="D61" s="678" t="s">
        <v>691</v>
      </c>
      <c r="E61" s="679" t="s">
        <v>689</v>
      </c>
      <c r="F61" s="679" t="s">
        <v>694</v>
      </c>
      <c r="G61" s="679" t="s">
        <v>670</v>
      </c>
      <c r="H61" s="679" t="s">
        <v>688</v>
      </c>
    </row>
    <row r="62" spans="1:15" x14ac:dyDescent="0.25">
      <c r="A62" s="973"/>
      <c r="C62" s="682" t="str">
        <f>IF(C22&lt;&gt;"",C22,"")</f>
        <v/>
      </c>
      <c r="D62" s="676" t="str">
        <f t="shared" ref="D62:H62" si="2">IF(D22&lt;&gt;"",D22,"")</f>
        <v/>
      </c>
      <c r="E62" s="675" t="str">
        <f t="shared" si="2"/>
        <v/>
      </c>
      <c r="F62" s="675" t="str">
        <f t="shared" si="2"/>
        <v/>
      </c>
      <c r="G62" s="680" t="str">
        <f t="shared" si="2"/>
        <v/>
      </c>
      <c r="H62" s="677" t="str">
        <f t="shared" si="2"/>
        <v/>
      </c>
      <c r="K62" s="960" t="s">
        <v>700</v>
      </c>
      <c r="L62" s="1017"/>
      <c r="M62" s="1017"/>
      <c r="N62" s="1017"/>
      <c r="O62" s="1018"/>
    </row>
    <row r="63" spans="1:15" x14ac:dyDescent="0.25">
      <c r="A63" s="973"/>
      <c r="C63" s="682" t="str">
        <f t="shared" ref="C63:H78" si="3">IF(C23&lt;&gt;"",C23,"")</f>
        <v/>
      </c>
      <c r="D63" s="676" t="str">
        <f t="shared" si="3"/>
        <v/>
      </c>
      <c r="E63" s="675" t="str">
        <f t="shared" si="3"/>
        <v/>
      </c>
      <c r="F63" s="675" t="str">
        <f t="shared" si="3"/>
        <v/>
      </c>
      <c r="G63" s="680" t="str">
        <f t="shared" si="3"/>
        <v/>
      </c>
      <c r="H63" s="677" t="str">
        <f t="shared" si="3"/>
        <v/>
      </c>
      <c r="K63" s="1019"/>
      <c r="L63" s="1020"/>
      <c r="M63" s="1020"/>
      <c r="N63" s="1020"/>
      <c r="O63" s="1021"/>
    </row>
    <row r="64" spans="1:15" x14ac:dyDescent="0.25">
      <c r="A64" s="973"/>
      <c r="B64" s="437"/>
      <c r="C64" s="682" t="str">
        <f t="shared" si="3"/>
        <v/>
      </c>
      <c r="D64" s="676" t="str">
        <f t="shared" si="3"/>
        <v/>
      </c>
      <c r="E64" s="675" t="str">
        <f t="shared" si="3"/>
        <v/>
      </c>
      <c r="F64" s="675" t="str">
        <f t="shared" si="3"/>
        <v/>
      </c>
      <c r="G64" s="680" t="str">
        <f t="shared" si="3"/>
        <v/>
      </c>
      <c r="H64" s="677" t="str">
        <f t="shared" si="3"/>
        <v/>
      </c>
      <c r="K64" s="1019"/>
      <c r="L64" s="1020"/>
      <c r="M64" s="1020"/>
      <c r="N64" s="1020"/>
      <c r="O64" s="1021"/>
    </row>
    <row r="65" spans="1:15" x14ac:dyDescent="0.25">
      <c r="A65" s="973"/>
      <c r="B65" s="437"/>
      <c r="C65" s="682" t="str">
        <f t="shared" si="3"/>
        <v/>
      </c>
      <c r="D65" s="676" t="str">
        <f t="shared" si="3"/>
        <v/>
      </c>
      <c r="E65" s="675" t="str">
        <f t="shared" si="3"/>
        <v/>
      </c>
      <c r="F65" s="675" t="str">
        <f t="shared" si="3"/>
        <v/>
      </c>
      <c r="G65" s="680" t="str">
        <f t="shared" si="3"/>
        <v/>
      </c>
      <c r="H65" s="677" t="str">
        <f t="shared" si="3"/>
        <v/>
      </c>
      <c r="K65" s="1019"/>
      <c r="L65" s="1020"/>
      <c r="M65" s="1020"/>
      <c r="N65" s="1020"/>
      <c r="O65" s="1021"/>
    </row>
    <row r="66" spans="1:15" x14ac:dyDescent="0.25">
      <c r="A66" s="973"/>
      <c r="C66" s="682" t="str">
        <f t="shared" si="3"/>
        <v/>
      </c>
      <c r="D66" s="676" t="str">
        <f t="shared" si="3"/>
        <v/>
      </c>
      <c r="E66" s="675" t="str">
        <f t="shared" si="3"/>
        <v/>
      </c>
      <c r="F66" s="675" t="str">
        <f t="shared" si="3"/>
        <v/>
      </c>
      <c r="G66" s="680" t="str">
        <f t="shared" si="3"/>
        <v/>
      </c>
      <c r="H66" s="677" t="str">
        <f t="shared" si="3"/>
        <v/>
      </c>
      <c r="K66" s="1022"/>
      <c r="L66" s="1023"/>
      <c r="M66" s="1023"/>
      <c r="N66" s="1023"/>
      <c r="O66" s="1024"/>
    </row>
    <row r="67" spans="1:15" x14ac:dyDescent="0.25">
      <c r="A67" s="973"/>
      <c r="C67" s="682" t="str">
        <f t="shared" si="3"/>
        <v/>
      </c>
      <c r="D67" s="676" t="str">
        <f t="shared" si="3"/>
        <v/>
      </c>
      <c r="E67" s="675" t="str">
        <f t="shared" si="3"/>
        <v/>
      </c>
      <c r="F67" s="675" t="str">
        <f t="shared" si="3"/>
        <v/>
      </c>
      <c r="G67" s="680" t="str">
        <f t="shared" si="3"/>
        <v/>
      </c>
      <c r="H67" s="677" t="str">
        <f t="shared" si="3"/>
        <v/>
      </c>
    </row>
    <row r="68" spans="1:15" x14ac:dyDescent="0.25">
      <c r="A68" s="973"/>
      <c r="C68" s="682" t="str">
        <f t="shared" si="3"/>
        <v/>
      </c>
      <c r="D68" s="676" t="str">
        <f t="shared" si="3"/>
        <v/>
      </c>
      <c r="E68" s="675" t="str">
        <f t="shared" si="3"/>
        <v/>
      </c>
      <c r="F68" s="675" t="str">
        <f t="shared" si="3"/>
        <v/>
      </c>
      <c r="G68" s="680" t="str">
        <f t="shared" si="3"/>
        <v/>
      </c>
      <c r="H68" s="677" t="str">
        <f t="shared" si="3"/>
        <v/>
      </c>
    </row>
    <row r="69" spans="1:15" x14ac:dyDescent="0.25">
      <c r="A69" s="973"/>
      <c r="C69" s="682" t="str">
        <f t="shared" si="3"/>
        <v/>
      </c>
      <c r="D69" s="676" t="str">
        <f t="shared" si="3"/>
        <v/>
      </c>
      <c r="E69" s="675" t="str">
        <f t="shared" si="3"/>
        <v/>
      </c>
      <c r="F69" s="675" t="str">
        <f t="shared" si="3"/>
        <v/>
      </c>
      <c r="G69" s="680" t="str">
        <f t="shared" si="3"/>
        <v/>
      </c>
      <c r="H69" s="677" t="str">
        <f t="shared" si="3"/>
        <v/>
      </c>
    </row>
    <row r="70" spans="1:15" x14ac:dyDescent="0.25">
      <c r="A70" s="973"/>
      <c r="C70" s="682" t="str">
        <f t="shared" si="3"/>
        <v/>
      </c>
      <c r="D70" s="676" t="str">
        <f t="shared" si="3"/>
        <v/>
      </c>
      <c r="E70" s="675" t="str">
        <f t="shared" si="3"/>
        <v/>
      </c>
      <c r="F70" s="675" t="str">
        <f t="shared" si="3"/>
        <v/>
      </c>
      <c r="G70" s="680" t="str">
        <f t="shared" si="3"/>
        <v/>
      </c>
      <c r="H70" s="677" t="str">
        <f t="shared" si="3"/>
        <v/>
      </c>
    </row>
    <row r="71" spans="1:15" x14ac:dyDescent="0.25">
      <c r="A71" s="973"/>
      <c r="C71" s="682" t="str">
        <f t="shared" si="3"/>
        <v/>
      </c>
      <c r="D71" s="676" t="str">
        <f t="shared" si="3"/>
        <v/>
      </c>
      <c r="E71" s="675" t="str">
        <f t="shared" si="3"/>
        <v/>
      </c>
      <c r="F71" s="675" t="str">
        <f t="shared" si="3"/>
        <v/>
      </c>
      <c r="G71" s="680" t="str">
        <f t="shared" si="3"/>
        <v/>
      </c>
      <c r="H71" s="677" t="str">
        <f t="shared" si="3"/>
        <v/>
      </c>
    </row>
    <row r="72" spans="1:15" x14ac:dyDescent="0.25">
      <c r="A72" s="973"/>
      <c r="C72" s="682" t="str">
        <f t="shared" si="3"/>
        <v/>
      </c>
      <c r="D72" s="676" t="str">
        <f t="shared" si="3"/>
        <v/>
      </c>
      <c r="E72" s="675" t="str">
        <f t="shared" si="3"/>
        <v/>
      </c>
      <c r="F72" s="675" t="str">
        <f t="shared" si="3"/>
        <v/>
      </c>
      <c r="G72" s="680" t="str">
        <f t="shared" si="3"/>
        <v/>
      </c>
      <c r="H72" s="677" t="str">
        <f t="shared" si="3"/>
        <v/>
      </c>
    </row>
    <row r="73" spans="1:15" x14ac:dyDescent="0.25">
      <c r="A73" s="973"/>
      <c r="C73" s="682" t="str">
        <f t="shared" si="3"/>
        <v/>
      </c>
      <c r="D73" s="676" t="str">
        <f t="shared" si="3"/>
        <v/>
      </c>
      <c r="E73" s="675" t="str">
        <f t="shared" si="3"/>
        <v/>
      </c>
      <c r="F73" s="675" t="str">
        <f t="shared" si="3"/>
        <v/>
      </c>
      <c r="G73" s="680" t="str">
        <f t="shared" si="3"/>
        <v/>
      </c>
      <c r="H73" s="677" t="str">
        <f t="shared" si="3"/>
        <v/>
      </c>
    </row>
    <row r="74" spans="1:15" x14ac:dyDescent="0.25">
      <c r="A74" s="973"/>
      <c r="C74" s="682" t="str">
        <f t="shared" si="3"/>
        <v/>
      </c>
      <c r="D74" s="676" t="str">
        <f t="shared" si="3"/>
        <v/>
      </c>
      <c r="E74" s="675" t="str">
        <f t="shared" si="3"/>
        <v/>
      </c>
      <c r="F74" s="675" t="str">
        <f t="shared" si="3"/>
        <v/>
      </c>
      <c r="G74" s="680" t="str">
        <f t="shared" si="3"/>
        <v/>
      </c>
      <c r="H74" s="677" t="str">
        <f t="shared" si="3"/>
        <v/>
      </c>
    </row>
    <row r="75" spans="1:15" x14ac:dyDescent="0.25">
      <c r="A75" s="973"/>
      <c r="C75" s="682" t="str">
        <f t="shared" si="3"/>
        <v/>
      </c>
      <c r="D75" s="676" t="str">
        <f t="shared" si="3"/>
        <v/>
      </c>
      <c r="E75" s="675" t="str">
        <f t="shared" si="3"/>
        <v/>
      </c>
      <c r="F75" s="675" t="str">
        <f t="shared" si="3"/>
        <v/>
      </c>
      <c r="G75" s="680" t="str">
        <f t="shared" si="3"/>
        <v/>
      </c>
      <c r="H75" s="677" t="str">
        <f t="shared" si="3"/>
        <v/>
      </c>
    </row>
    <row r="76" spans="1:15" x14ac:dyDescent="0.25">
      <c r="A76" s="973"/>
      <c r="B76" s="428"/>
      <c r="C76" s="682" t="str">
        <f t="shared" si="3"/>
        <v/>
      </c>
      <c r="D76" s="676" t="str">
        <f t="shared" si="3"/>
        <v/>
      </c>
      <c r="E76" s="675" t="str">
        <f t="shared" si="3"/>
        <v/>
      </c>
      <c r="F76" s="675" t="str">
        <f t="shared" si="3"/>
        <v/>
      </c>
      <c r="G76" s="680" t="str">
        <f t="shared" si="3"/>
        <v/>
      </c>
      <c r="H76" s="677" t="str">
        <f t="shared" si="3"/>
        <v/>
      </c>
    </row>
    <row r="77" spans="1:15" x14ac:dyDescent="0.25">
      <c r="A77" s="973"/>
      <c r="C77" s="682" t="str">
        <f t="shared" si="3"/>
        <v/>
      </c>
      <c r="D77" s="676" t="str">
        <f t="shared" si="3"/>
        <v/>
      </c>
      <c r="E77" s="675" t="str">
        <f t="shared" si="3"/>
        <v/>
      </c>
      <c r="F77" s="675" t="str">
        <f t="shared" si="3"/>
        <v/>
      </c>
      <c r="G77" s="680" t="str">
        <f t="shared" si="3"/>
        <v/>
      </c>
      <c r="H77" s="677" t="str">
        <f t="shared" si="3"/>
        <v/>
      </c>
    </row>
    <row r="78" spans="1:15" x14ac:dyDescent="0.25">
      <c r="A78" s="973"/>
      <c r="C78" s="682" t="str">
        <f t="shared" si="3"/>
        <v/>
      </c>
      <c r="D78" s="676" t="str">
        <f t="shared" si="3"/>
        <v/>
      </c>
      <c r="E78" s="675" t="str">
        <f t="shared" si="3"/>
        <v/>
      </c>
      <c r="F78" s="675" t="str">
        <f t="shared" si="3"/>
        <v/>
      </c>
      <c r="G78" s="680" t="str">
        <f t="shared" si="3"/>
        <v/>
      </c>
      <c r="H78" s="677" t="str">
        <f t="shared" si="3"/>
        <v/>
      </c>
    </row>
    <row r="79" spans="1:15" x14ac:dyDescent="0.25">
      <c r="A79" s="973"/>
      <c r="C79" s="682" t="str">
        <f t="shared" ref="C79:H81" si="4">IF(C39&lt;&gt;"",C39,"")</f>
        <v/>
      </c>
      <c r="D79" s="676" t="str">
        <f t="shared" si="4"/>
        <v/>
      </c>
      <c r="E79" s="675" t="str">
        <f t="shared" si="4"/>
        <v/>
      </c>
      <c r="F79" s="675" t="str">
        <f t="shared" si="4"/>
        <v/>
      </c>
      <c r="G79" s="680" t="str">
        <f t="shared" si="4"/>
        <v/>
      </c>
      <c r="H79" s="677" t="str">
        <f t="shared" si="4"/>
        <v/>
      </c>
    </row>
    <row r="80" spans="1:15" x14ac:dyDescent="0.25">
      <c r="A80" s="973"/>
      <c r="C80" s="682" t="str">
        <f t="shared" si="4"/>
        <v/>
      </c>
      <c r="D80" s="676" t="str">
        <f t="shared" si="4"/>
        <v/>
      </c>
      <c r="E80" s="675" t="str">
        <f t="shared" si="4"/>
        <v/>
      </c>
      <c r="F80" s="675" t="str">
        <f t="shared" si="4"/>
        <v/>
      </c>
      <c r="G80" s="680" t="str">
        <f t="shared" si="4"/>
        <v/>
      </c>
      <c r="H80" s="677" t="str">
        <f t="shared" si="4"/>
        <v/>
      </c>
    </row>
    <row r="81" spans="1:9" x14ac:dyDescent="0.25">
      <c r="A81" s="973"/>
      <c r="C81" s="682" t="str">
        <f t="shared" si="4"/>
        <v/>
      </c>
      <c r="D81" s="674" t="str">
        <f t="shared" si="4"/>
        <v/>
      </c>
      <c r="E81" s="675" t="str">
        <f t="shared" si="4"/>
        <v/>
      </c>
      <c r="F81" s="675" t="str">
        <f t="shared" si="4"/>
        <v/>
      </c>
      <c r="G81" s="680" t="str">
        <f t="shared" si="4"/>
        <v/>
      </c>
      <c r="H81" s="677" t="str">
        <f t="shared" si="4"/>
        <v/>
      </c>
    </row>
    <row r="82" spans="1:9" x14ac:dyDescent="0.25">
      <c r="A82" s="973"/>
      <c r="C82" s="683"/>
      <c r="D82" s="683"/>
      <c r="E82" s="683"/>
      <c r="F82" s="683"/>
      <c r="G82" s="1040" t="str">
        <f>IF(VSK&lt;&gt;0, SUM(H62:H81),"")</f>
        <v/>
      </c>
      <c r="H82" s="1040"/>
    </row>
    <row r="83" spans="1:9" x14ac:dyDescent="0.25">
      <c r="A83" s="973"/>
    </row>
    <row r="84" spans="1:9" x14ac:dyDescent="0.25">
      <c r="A84" s="973"/>
      <c r="B84" s="428"/>
      <c r="C84" s="425" t="str">
        <f>IF(AND(ZuAbschlag&lt;&gt;0,VSK&lt;&gt;0),"Zu-/Abschlag:","")</f>
        <v/>
      </c>
      <c r="E84" s="444" t="str">
        <f>IF(AND(ZuAbschlag&lt;&gt;0,VSK&lt;&gt;0),ZuAbschlag,"")</f>
        <v/>
      </c>
      <c r="F84" s="733" t="str">
        <f>IF(AND(ZuAbschlag&lt;&gt;0,VSK&lt;&gt;0),G82*E84,"")</f>
        <v/>
      </c>
      <c r="G84" s="426" t="str">
        <f>IF(AND(ZuAbschlag&lt;&gt;0,VSK&lt;&gt;0,F44&lt;&gt;""),F44,"")</f>
        <v/>
      </c>
    </row>
    <row r="85" spans="1:9" ht="15.75" x14ac:dyDescent="0.25">
      <c r="A85" s="973"/>
      <c r="C85" s="425" t="str">
        <f>IF(AND(NK&lt;&gt;0,VSK&lt;&gt;0),"Nebenkosten:","")</f>
        <v/>
      </c>
      <c r="F85" s="733" t="str">
        <f>IF(AND(NK&lt;&gt;0,VSK&lt;&gt;0),NK,"")</f>
        <v/>
      </c>
      <c r="G85" s="426" t="str">
        <f>IF(AND(NK&lt;&gt;0,VSK&lt;&gt;0,F45&lt;&gt;""),F45,"")</f>
        <v/>
      </c>
      <c r="I85" s="445"/>
    </row>
    <row r="86" spans="1:9" x14ac:dyDescent="0.25">
      <c r="A86" s="973"/>
    </row>
    <row r="87" spans="1:9" ht="15.75" x14ac:dyDescent="0.25">
      <c r="A87" s="973"/>
      <c r="C87" s="445" t="s">
        <v>71</v>
      </c>
      <c r="D87" s="445"/>
      <c r="E87" s="445"/>
      <c r="F87" s="445"/>
      <c r="G87" s="1041">
        <f>IF(VSK&gt;0,SUM(F85,F84,G82),0)</f>
        <v>0</v>
      </c>
      <c r="H87" s="1042"/>
    </row>
    <row r="88" spans="1:9" x14ac:dyDescent="0.25">
      <c r="A88" s="973"/>
    </row>
    <row r="89" spans="1:9" x14ac:dyDescent="0.25">
      <c r="A89" s="973"/>
    </row>
    <row r="90" spans="1:9" x14ac:dyDescent="0.25">
      <c r="A90" s="973"/>
    </row>
  </sheetData>
  <mergeCells count="14">
    <mergeCell ref="K62:O66"/>
    <mergeCell ref="G82:H82"/>
    <mergeCell ref="G87:H87"/>
    <mergeCell ref="F45:H45"/>
    <mergeCell ref="G47:H47"/>
    <mergeCell ref="A49:A90"/>
    <mergeCell ref="B50:I50"/>
    <mergeCell ref="B51:I51"/>
    <mergeCell ref="B52:I52"/>
    <mergeCell ref="B53:I53"/>
    <mergeCell ref="B55:I55"/>
    <mergeCell ref="F44:H44"/>
    <mergeCell ref="A1:A48"/>
    <mergeCell ref="C2:H2"/>
  </mergeCells>
  <dataValidations disablePrompts="1" count="3">
    <dataValidation type="decimal" operator="greaterThan" allowBlank="1" showInputMessage="1" showErrorMessage="1" sqref="E45">
      <formula1>-1000000</formula1>
    </dataValidation>
    <dataValidation type="decimal" operator="greaterThan" showInputMessage="1" showErrorMessage="1" sqref="E44">
      <formula1>-1000</formula1>
    </dataValidation>
    <dataValidation type="list" showInputMessage="1" showErrorMessage="1" sqref="E22:E41">
      <formula1>$G$5:$G$18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zoomScaleNormal="100" zoomScaleSheetLayoutView="100" workbookViewId="0">
      <selection activeCell="C7" sqref="C7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  <col min="10" max="10" width="8.7109375" style="27" customWidth="1"/>
    <col min="11" max="11" width="11.42578125" style="136"/>
    <col min="12" max="13" width="11.42578125" style="137"/>
    <col min="14" max="18" width="11.42578125" style="210"/>
  </cols>
  <sheetData>
    <row r="1" spans="1:19" ht="17.25" customHeight="1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N1" s="210">
        <f ca="1">CELL("ZEILE",B27)</f>
        <v>27</v>
      </c>
    </row>
    <row r="2" spans="1:19" ht="22.5" customHeight="1" x14ac:dyDescent="0.25">
      <c r="A2" s="975"/>
      <c r="B2" s="64"/>
      <c r="C2" s="65" t="s">
        <v>36</v>
      </c>
      <c r="D2" s="1051" t="s">
        <v>716</v>
      </c>
      <c r="E2" s="1052"/>
      <c r="F2" s="1052"/>
      <c r="G2" s="1052"/>
      <c r="H2" s="1053"/>
      <c r="I2" s="63"/>
      <c r="K2" s="268" t="s">
        <v>793</v>
      </c>
      <c r="L2" s="236"/>
      <c r="M2" s="236"/>
      <c r="N2" s="268">
        <f ca="1">CELL("ZEILE",G60)</f>
        <v>60</v>
      </c>
      <c r="O2" s="268"/>
      <c r="P2" s="268"/>
    </row>
    <row r="3" spans="1:19" ht="22.5" customHeight="1" x14ac:dyDescent="0.25">
      <c r="A3" s="975"/>
      <c r="B3" s="64"/>
      <c r="C3" s="89"/>
      <c r="D3" s="1093"/>
      <c r="E3" s="1094"/>
      <c r="F3" s="1094"/>
      <c r="G3" s="1094"/>
      <c r="H3" s="1095"/>
      <c r="I3" s="63"/>
      <c r="K3" s="268" t="s">
        <v>794</v>
      </c>
      <c r="L3" s="236"/>
      <c r="M3" s="236"/>
      <c r="N3" s="268">
        <f>F19</f>
        <v>0</v>
      </c>
      <c r="O3" s="268"/>
      <c r="P3" s="268"/>
    </row>
    <row r="4" spans="1:19" ht="17.25" customHeight="1" x14ac:dyDescent="0.25">
      <c r="A4" s="975"/>
      <c r="B4" s="64"/>
      <c r="C4" s="92"/>
      <c r="D4" s="19"/>
      <c r="E4" s="19"/>
      <c r="F4" s="19"/>
      <c r="G4" s="19"/>
      <c r="H4" s="93"/>
      <c r="I4" s="63"/>
      <c r="K4" s="268"/>
      <c r="L4" s="339"/>
      <c r="M4" s="340"/>
      <c r="N4" s="268"/>
      <c r="O4" s="268"/>
      <c r="P4" s="268"/>
      <c r="Q4" s="268"/>
      <c r="S4" s="7"/>
    </row>
    <row r="5" spans="1:19" ht="17.25" customHeight="1" x14ac:dyDescent="0.25">
      <c r="A5" s="975"/>
      <c r="B5" s="64"/>
      <c r="C5" s="328"/>
      <c r="D5" s="243"/>
      <c r="E5" s="243"/>
      <c r="F5" s="243"/>
      <c r="G5" s="243"/>
      <c r="H5" s="243"/>
      <c r="I5" s="63"/>
      <c r="K5" s="268"/>
      <c r="L5" s="339"/>
      <c r="M5" s="340"/>
      <c r="N5" s="268"/>
      <c r="O5" s="268"/>
      <c r="P5" s="268"/>
      <c r="S5" s="7"/>
    </row>
    <row r="6" spans="1:19" ht="17.25" customHeight="1" x14ac:dyDescent="0.25">
      <c r="A6" s="975"/>
      <c r="B6" s="64"/>
      <c r="C6" s="309" t="s">
        <v>284</v>
      </c>
      <c r="D6" s="1092" t="s">
        <v>285</v>
      </c>
      <c r="E6" s="1092"/>
      <c r="F6" s="1092"/>
      <c r="G6" s="243" t="s">
        <v>277</v>
      </c>
      <c r="H6" s="243" t="s">
        <v>163</v>
      </c>
      <c r="I6" s="63"/>
      <c r="K6" s="350" t="s">
        <v>275</v>
      </c>
      <c r="L6" s="351" t="s">
        <v>274</v>
      </c>
      <c r="M6" s="352" t="s">
        <v>291</v>
      </c>
      <c r="N6" s="341"/>
      <c r="O6" s="341"/>
      <c r="S6" s="7"/>
    </row>
    <row r="7" spans="1:19" ht="19.5" customHeight="1" x14ac:dyDescent="0.25">
      <c r="A7" s="975"/>
      <c r="B7" s="64"/>
      <c r="C7" s="331">
        <v>0</v>
      </c>
      <c r="D7" s="1133" t="s">
        <v>259</v>
      </c>
      <c r="E7" s="1133"/>
      <c r="F7" s="1133"/>
      <c r="G7" s="100" t="s">
        <v>278</v>
      </c>
      <c r="H7" s="332" t="s">
        <v>206</v>
      </c>
      <c r="I7" s="310"/>
      <c r="K7" s="341">
        <f>VLOOKUP(D7,Konstante!$D$158:$F$170,3,FALSE)</f>
        <v>0.18</v>
      </c>
      <c r="L7" s="341">
        <f>VLOOKUP(D7,Konstante!$D$158:$F$170,2,FALSE)</f>
        <v>0.12</v>
      </c>
      <c r="M7" s="342">
        <f>VLOOKUP(G7,Konstante!$I$160:$M$162,VLOOKUP(H7,Konstante!$I$167:$J$169,2,FALSE),FALSE)</f>
        <v>1</v>
      </c>
      <c r="N7" s="354">
        <f>(K7*C7)+(L7*M7*C7)</f>
        <v>0</v>
      </c>
      <c r="O7" s="341"/>
      <c r="S7" s="7"/>
    </row>
    <row r="8" spans="1:19" s="2" customFormat="1" ht="20.100000000000001" customHeight="1" x14ac:dyDescent="0.25">
      <c r="A8" s="975"/>
      <c r="B8" s="64"/>
      <c r="C8" s="331">
        <v>0</v>
      </c>
      <c r="D8" s="1133" t="s">
        <v>260</v>
      </c>
      <c r="E8" s="1133"/>
      <c r="F8" s="1133"/>
      <c r="G8" s="100" t="s">
        <v>278</v>
      </c>
      <c r="H8" s="332" t="s">
        <v>206</v>
      </c>
      <c r="I8" s="232"/>
      <c r="J8" s="28"/>
      <c r="K8" s="341">
        <f>VLOOKUP(D8,Konstante!$D$158:$F$170,3,FALSE)</f>
        <v>0.27</v>
      </c>
      <c r="L8" s="341">
        <f>VLOOKUP(D8,Konstante!$D$158:$F$170,2,FALSE)</f>
        <v>0.54</v>
      </c>
      <c r="M8" s="342">
        <f>VLOOKUP(G8,Konstante!$I$160:$M$162,VLOOKUP(H8,Konstante!$I$167:$J$169,2,FALSE),FALSE)</f>
        <v>1</v>
      </c>
      <c r="N8" s="354">
        <f t="shared" ref="N8:N12" si="0">(K8*C8)+(L8*M8*C8)</f>
        <v>0</v>
      </c>
      <c r="O8" s="343"/>
      <c r="P8" s="142"/>
      <c r="Q8" s="142"/>
      <c r="R8" s="142"/>
    </row>
    <row r="9" spans="1:19" s="2" customFormat="1" ht="20.100000000000001" customHeight="1" x14ac:dyDescent="0.25">
      <c r="A9" s="975"/>
      <c r="B9" s="64"/>
      <c r="C9" s="331">
        <v>0</v>
      </c>
      <c r="D9" s="1133" t="s">
        <v>261</v>
      </c>
      <c r="E9" s="1133"/>
      <c r="F9" s="1133"/>
      <c r="G9" s="100" t="s">
        <v>278</v>
      </c>
      <c r="H9" s="332" t="s">
        <v>206</v>
      </c>
      <c r="I9" s="311"/>
      <c r="J9" s="28"/>
      <c r="K9" s="341">
        <f>VLOOKUP(D9,Konstante!$D$158:$F$170,3,FALSE)</f>
        <v>0.17</v>
      </c>
      <c r="L9" s="341">
        <f>VLOOKUP(D9,Konstante!$D$158:$F$170,2,FALSE)</f>
        <v>0.54</v>
      </c>
      <c r="M9" s="342">
        <f>VLOOKUP(G9,Konstante!$I$160:$M$162,VLOOKUP(H9,Konstante!$I$167:$J$169,2,FALSE),FALSE)</f>
        <v>1</v>
      </c>
      <c r="N9" s="354">
        <f t="shared" si="0"/>
        <v>0</v>
      </c>
      <c r="O9" s="343"/>
      <c r="P9" s="142"/>
      <c r="Q9" s="142"/>
      <c r="R9" s="142"/>
    </row>
    <row r="10" spans="1:19" s="2" customFormat="1" ht="20.100000000000001" customHeight="1" x14ac:dyDescent="0.25">
      <c r="A10" s="975"/>
      <c r="B10" s="64"/>
      <c r="C10" s="331">
        <v>0</v>
      </c>
      <c r="D10" s="1133" t="s">
        <v>262</v>
      </c>
      <c r="E10" s="1133"/>
      <c r="F10" s="1133"/>
      <c r="G10" s="100" t="s">
        <v>278</v>
      </c>
      <c r="H10" s="332" t="s">
        <v>206</v>
      </c>
      <c r="I10" s="311"/>
      <c r="J10" s="28"/>
      <c r="K10" s="341">
        <f>VLOOKUP(D10,Konstante!$D$158:$F$170,3,FALSE)</f>
        <v>0.05</v>
      </c>
      <c r="L10" s="341">
        <f>VLOOKUP(D10,Konstante!$D$158:$F$170,2,FALSE)</f>
        <v>0.12</v>
      </c>
      <c r="M10" s="342">
        <f>VLOOKUP(G10,Konstante!$I$160:$M$162,VLOOKUP(H10,Konstante!$I$167:$J$169,2,FALSE),FALSE)</f>
        <v>1</v>
      </c>
      <c r="N10" s="354">
        <f t="shared" si="0"/>
        <v>0</v>
      </c>
      <c r="O10" s="343"/>
      <c r="P10" s="142"/>
      <c r="Q10" s="142"/>
      <c r="R10" s="142"/>
    </row>
    <row r="11" spans="1:19" s="2" customFormat="1" ht="20.100000000000001" customHeight="1" x14ac:dyDescent="0.25">
      <c r="A11" s="975"/>
      <c r="B11" s="64"/>
      <c r="C11" s="331">
        <v>0</v>
      </c>
      <c r="D11" s="1133" t="s">
        <v>263</v>
      </c>
      <c r="E11" s="1133"/>
      <c r="F11" s="1133"/>
      <c r="G11" s="100" t="s">
        <v>278</v>
      </c>
      <c r="H11" s="332" t="s">
        <v>206</v>
      </c>
      <c r="I11" s="311"/>
      <c r="J11" s="28"/>
      <c r="K11" s="341">
        <f>VLOOKUP(D11,Konstante!$D$158:$F$170,3,FALSE)</f>
        <v>0.02</v>
      </c>
      <c r="L11" s="341">
        <f>VLOOKUP(D11,Konstante!$D$158:$F$170,2,FALSE)</f>
        <v>0.18</v>
      </c>
      <c r="M11" s="342">
        <f>VLOOKUP(G11,Konstante!$I$160:$M$162,VLOOKUP(H11,Konstante!$I$167:$J$169,2,FALSE),FALSE)</f>
        <v>1</v>
      </c>
      <c r="N11" s="354">
        <f t="shared" si="0"/>
        <v>0</v>
      </c>
      <c r="O11" s="343"/>
      <c r="P11" s="142"/>
      <c r="Q11" s="142"/>
      <c r="R11" s="142"/>
    </row>
    <row r="12" spans="1:19" s="2" customFormat="1" ht="20.100000000000001" customHeight="1" x14ac:dyDescent="0.25">
      <c r="A12" s="975"/>
      <c r="B12" s="64"/>
      <c r="C12" s="331">
        <v>0</v>
      </c>
      <c r="D12" s="1133" t="s">
        <v>264</v>
      </c>
      <c r="E12" s="1133"/>
      <c r="F12" s="1133"/>
      <c r="G12" s="701" t="s">
        <v>278</v>
      </c>
      <c r="H12" s="702" t="s">
        <v>206</v>
      </c>
      <c r="I12" s="65"/>
      <c r="J12" s="28"/>
      <c r="K12" s="341">
        <f>VLOOKUP(D12,Konstante!$D$158:$F$170,3,FALSE)</f>
        <v>7.0000000000000007E-2</v>
      </c>
      <c r="L12" s="341">
        <f>VLOOKUP(D12,Konstante!$D$158:$F$170,2,FALSE)</f>
        <v>0.03</v>
      </c>
      <c r="M12" s="342">
        <f>VLOOKUP(G12,Konstante!$I$160:$M$162,VLOOKUP(H12,Konstante!$I$167:$J$169,2,FALSE),FALSE)</f>
        <v>1</v>
      </c>
      <c r="N12" s="354">
        <f t="shared" si="0"/>
        <v>0</v>
      </c>
      <c r="O12" s="343"/>
      <c r="P12" s="142"/>
      <c r="Q12" s="142"/>
      <c r="R12" s="142"/>
    </row>
    <row r="13" spans="1:19" s="2" customFormat="1" ht="20.100000000000001" customHeight="1" x14ac:dyDescent="0.25">
      <c r="A13" s="975"/>
      <c r="B13" s="63"/>
      <c r="C13" s="359">
        <f>SUM(C7:C12)</f>
        <v>0</v>
      </c>
      <c r="D13" s="297" t="str">
        <f>IF(C13&gt;1,"Punkte","Punkt")</f>
        <v>Punkt</v>
      </c>
      <c r="E13" s="360"/>
      <c r="F13" s="360"/>
      <c r="G13" s="334"/>
      <c r="H13" s="335"/>
      <c r="I13" s="65"/>
      <c r="J13" s="28"/>
      <c r="K13" s="343"/>
      <c r="L13" s="344"/>
      <c r="M13" s="345"/>
      <c r="N13" s="354">
        <f>SUM(N7:N12)</f>
        <v>0</v>
      </c>
      <c r="O13" s="343"/>
      <c r="P13" s="142"/>
      <c r="Q13" s="142"/>
      <c r="R13" s="142"/>
    </row>
    <row r="14" spans="1:19" s="2" customFormat="1" ht="20.100000000000001" customHeight="1" x14ac:dyDescent="0.25">
      <c r="A14" s="975"/>
      <c r="B14" s="64"/>
      <c r="C14" s="333"/>
      <c r="D14" s="337"/>
      <c r="E14" s="1134" t="s">
        <v>290</v>
      </c>
      <c r="F14" s="1135"/>
      <c r="G14" s="1135"/>
      <c r="H14" s="1136"/>
      <c r="I14" s="232"/>
      <c r="J14" s="28"/>
      <c r="K14" s="343"/>
      <c r="L14" s="346"/>
      <c r="M14" s="347"/>
      <c r="N14" s="354"/>
      <c r="O14" s="343"/>
      <c r="P14" s="142"/>
      <c r="Q14" s="142"/>
      <c r="R14" s="142"/>
    </row>
    <row r="15" spans="1:19" s="2" customFormat="1" ht="20.100000000000001" customHeight="1" x14ac:dyDescent="0.25">
      <c r="A15" s="975"/>
      <c r="B15" s="64"/>
      <c r="C15" s="333"/>
      <c r="D15" s="336"/>
      <c r="E15" s="1137"/>
      <c r="F15" s="1138"/>
      <c r="G15" s="1138"/>
      <c r="H15" s="1139"/>
      <c r="I15" s="232"/>
      <c r="J15" s="28"/>
      <c r="K15" s="343"/>
      <c r="L15" s="346"/>
      <c r="M15" s="347"/>
      <c r="N15" s="354">
        <f>N13*Gesamt!$E$14</f>
        <v>0</v>
      </c>
      <c r="O15" s="343"/>
      <c r="P15" s="142"/>
      <c r="Q15" s="142"/>
      <c r="R15" s="142"/>
    </row>
    <row r="16" spans="1:19" s="2" customFormat="1" ht="20.100000000000001" customHeight="1" x14ac:dyDescent="0.25">
      <c r="A16" s="975"/>
      <c r="B16" s="64"/>
      <c r="C16" s="102" t="s">
        <v>624</v>
      </c>
      <c r="D16" s="709"/>
      <c r="E16" s="476"/>
      <c r="F16" s="1000"/>
      <c r="G16" s="1001"/>
      <c r="H16" s="338"/>
      <c r="I16" s="65"/>
      <c r="J16" s="28"/>
      <c r="K16" s="343"/>
      <c r="L16" s="347"/>
      <c r="M16" s="347"/>
      <c r="N16" s="354">
        <f>N15*D16</f>
        <v>0</v>
      </c>
      <c r="O16" s="343"/>
      <c r="P16" s="142"/>
      <c r="Q16" s="142"/>
      <c r="R16" s="142"/>
    </row>
    <row r="17" spans="1:18" s="2" customFormat="1" ht="20.100000000000001" customHeight="1" x14ac:dyDescent="0.25">
      <c r="A17" s="975"/>
      <c r="B17" s="64"/>
      <c r="C17" s="97" t="s">
        <v>705</v>
      </c>
      <c r="D17" s="707"/>
      <c r="E17" s="19"/>
      <c r="F17" s="19"/>
      <c r="G17" s="19"/>
      <c r="H17" s="93"/>
      <c r="I17" s="65"/>
      <c r="J17" s="28"/>
      <c r="K17" s="343"/>
      <c r="L17" s="347"/>
      <c r="M17" s="347"/>
      <c r="N17" s="354">
        <f>D17</f>
        <v>0</v>
      </c>
      <c r="O17" s="343"/>
      <c r="P17" s="142"/>
      <c r="Q17" s="142"/>
      <c r="R17" s="142"/>
    </row>
    <row r="18" spans="1:18" s="2" customFormat="1" ht="20.100000000000001" customHeight="1" x14ac:dyDescent="0.25">
      <c r="A18" s="975"/>
      <c r="B18" s="64"/>
      <c r="C18" s="94"/>
      <c r="D18" s="95"/>
      <c r="E18" s="95"/>
      <c r="F18" s="95"/>
      <c r="G18" s="95"/>
      <c r="H18" s="96"/>
      <c r="I18" s="63"/>
      <c r="J18" s="28"/>
      <c r="K18" s="348"/>
      <c r="L18" s="347"/>
      <c r="M18" s="347"/>
      <c r="N18" s="354">
        <f>SUM(N15:N17)</f>
        <v>0</v>
      </c>
      <c r="O18" s="343"/>
      <c r="P18" s="142"/>
      <c r="Q18" s="142"/>
      <c r="R18" s="142"/>
    </row>
    <row r="19" spans="1:18" ht="19.5" customHeight="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9">
        <f>IF(AND(C7&lt;1,C8&lt;1,C9&lt;1,C10&lt;1,C11&lt;1,C12&lt;1),0,1)</f>
        <v>0</v>
      </c>
      <c r="G19" s="999" t="str">
        <f>IF(F19&lt;&gt;0, N18,"")</f>
        <v/>
      </c>
      <c r="H19" s="999"/>
      <c r="I19" s="63"/>
      <c r="K19" s="349"/>
      <c r="L19" s="350"/>
      <c r="M19" s="349"/>
      <c r="O19" s="341"/>
    </row>
    <row r="20" spans="1:18" ht="19.5" customHeight="1" x14ac:dyDescent="0.25">
      <c r="A20" s="975"/>
      <c r="B20" s="63"/>
      <c r="C20" s="63"/>
      <c r="D20" s="63"/>
      <c r="E20" s="63"/>
      <c r="F20" s="63"/>
      <c r="G20" s="63"/>
      <c r="H20" s="63"/>
      <c r="I20" s="63"/>
      <c r="K20" s="349"/>
      <c r="L20" s="350"/>
      <c r="M20" s="350"/>
      <c r="N20" s="341"/>
      <c r="O20" s="341"/>
    </row>
    <row r="21" spans="1:18" x14ac:dyDescent="0.25">
      <c r="A21" s="973" t="s">
        <v>72</v>
      </c>
    </row>
    <row r="22" spans="1:18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8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8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8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8" x14ac:dyDescent="0.25">
      <c r="A26" s="973"/>
    </row>
    <row r="27" spans="1:18" s="307" customFormat="1" ht="23.25" customHeight="1" x14ac:dyDescent="0.25">
      <c r="A27" s="973"/>
      <c r="B27" s="968" t="str">
        <f>CONCATENATE(D2," ",D3)</f>
        <v xml:space="preserve">STABILISIERUNG und SIGNALISIERUNG </v>
      </c>
      <c r="C27" s="994"/>
      <c r="D27" s="994"/>
      <c r="E27" s="994"/>
      <c r="F27" s="994"/>
      <c r="G27" s="994"/>
      <c r="H27" s="994"/>
      <c r="I27" s="994"/>
      <c r="J27" s="29"/>
      <c r="K27" s="145"/>
      <c r="L27" s="146"/>
      <c r="M27" s="146"/>
      <c r="N27" s="147"/>
      <c r="O27" s="147"/>
      <c r="P27" s="147"/>
      <c r="Q27" s="147"/>
      <c r="R27" s="147"/>
    </row>
    <row r="28" spans="1:18" x14ac:dyDescent="0.25">
      <c r="A28" s="973"/>
      <c r="C28" s="45"/>
      <c r="D28" s="45"/>
      <c r="E28" s="45"/>
      <c r="F28" s="45"/>
      <c r="G28" s="45"/>
      <c r="H28" s="45"/>
    </row>
    <row r="29" spans="1:18" x14ac:dyDescent="0.25">
      <c r="A29" s="973"/>
      <c r="C29" s="45" t="s">
        <v>790</v>
      </c>
      <c r="D29" s="45"/>
      <c r="E29" s="45"/>
      <c r="F29" s="45"/>
      <c r="G29" s="45"/>
      <c r="H29" s="45"/>
    </row>
    <row r="30" spans="1:18" x14ac:dyDescent="0.25">
      <c r="A30" s="973"/>
      <c r="C30" s="45"/>
      <c r="D30" s="45"/>
      <c r="E30" s="45"/>
      <c r="F30" s="45"/>
      <c r="G30" s="45"/>
      <c r="H30" s="45"/>
    </row>
    <row r="31" spans="1:18" x14ac:dyDescent="0.25">
      <c r="A31" s="973"/>
      <c r="C31" s="45" t="s">
        <v>46</v>
      </c>
      <c r="D31" s="45"/>
      <c r="E31" s="367">
        <f>Gesamt!E14</f>
        <v>79.08</v>
      </c>
      <c r="F31" s="45"/>
      <c r="G31" s="45"/>
      <c r="H31" s="45"/>
    </row>
    <row r="32" spans="1:18" x14ac:dyDescent="0.25">
      <c r="A32" s="973"/>
      <c r="B32" s="425"/>
      <c r="C32" s="473"/>
      <c r="D32" s="473"/>
      <c r="E32" s="367"/>
      <c r="F32" s="473"/>
      <c r="G32" s="473"/>
      <c r="H32" s="473"/>
      <c r="I32" s="425"/>
    </row>
    <row r="33" spans="1:18" x14ac:dyDescent="0.25">
      <c r="A33" s="973"/>
      <c r="B33" s="425"/>
      <c r="C33" s="899" t="s">
        <v>878</v>
      </c>
      <c r="D33" s="473"/>
      <c r="E33" s="367"/>
      <c r="F33" s="473"/>
      <c r="G33" s="473"/>
      <c r="H33" s="473"/>
      <c r="I33" s="425"/>
    </row>
    <row r="34" spans="1:18" x14ac:dyDescent="0.25">
      <c r="A34" s="973"/>
      <c r="C34" s="45"/>
      <c r="D34" s="45"/>
      <c r="E34" s="45"/>
      <c r="F34" s="45"/>
      <c r="G34" s="45"/>
      <c r="H34" s="45"/>
    </row>
    <row r="35" spans="1:18" ht="15" customHeight="1" x14ac:dyDescent="0.25">
      <c r="A35" s="973"/>
      <c r="C35" s="155"/>
      <c r="D35" s="45"/>
      <c r="E35" s="45"/>
      <c r="F35" s="45"/>
      <c r="G35" s="45"/>
      <c r="H35" s="45"/>
    </row>
    <row r="36" spans="1:18" ht="15" customHeight="1" x14ac:dyDescent="0.25">
      <c r="A36" s="973"/>
      <c r="C36" s="306" t="s">
        <v>284</v>
      </c>
      <c r="D36" s="969" t="s">
        <v>285</v>
      </c>
      <c r="E36" s="969"/>
      <c r="F36" s="969"/>
      <c r="G36" s="356" t="s">
        <v>277</v>
      </c>
      <c r="H36" s="356" t="s">
        <v>163</v>
      </c>
    </row>
    <row r="37" spans="1:18" ht="15" customHeight="1" x14ac:dyDescent="0.25">
      <c r="A37" s="973"/>
      <c r="C37" s="355" t="str">
        <f>IF(C7&gt;0,C7,"")</f>
        <v/>
      </c>
      <c r="D37" s="1132" t="str">
        <f>IF($C7&gt;0,D7,"")</f>
        <v/>
      </c>
      <c r="E37" s="1132"/>
      <c r="F37" s="1132"/>
      <c r="G37" s="357" t="str">
        <f>IF($C7&gt;0,G7,"")</f>
        <v/>
      </c>
      <c r="H37" s="357" t="str">
        <f>IF($C7&gt;0,H7,"")</f>
        <v/>
      </c>
    </row>
    <row r="38" spans="1:18" ht="15" customHeight="1" x14ac:dyDescent="0.25">
      <c r="A38" s="973"/>
      <c r="B38" s="22"/>
      <c r="C38" s="355" t="str">
        <f t="shared" ref="C38:C42" si="1">IF(C8&gt;0,C8,"")</f>
        <v/>
      </c>
      <c r="D38" s="1132" t="str">
        <f t="shared" ref="D38:D42" si="2">IF($C8&gt;0,D8,"")</f>
        <v/>
      </c>
      <c r="E38" s="1132"/>
      <c r="F38" s="1132"/>
      <c r="G38" s="357" t="str">
        <f t="shared" ref="G38:H38" si="3">IF($C8&gt;0,G8,"")</f>
        <v/>
      </c>
      <c r="H38" s="357" t="str">
        <f t="shared" si="3"/>
        <v/>
      </c>
      <c r="I38" s="22"/>
    </row>
    <row r="39" spans="1:18" ht="15" customHeight="1" x14ac:dyDescent="0.25">
      <c r="A39" s="973"/>
      <c r="B39" s="22"/>
      <c r="C39" s="355" t="str">
        <f t="shared" si="1"/>
        <v/>
      </c>
      <c r="D39" s="1132" t="str">
        <f t="shared" si="2"/>
        <v/>
      </c>
      <c r="E39" s="1132"/>
      <c r="F39" s="1132"/>
      <c r="G39" s="357" t="str">
        <f t="shared" ref="G39:H39" si="4">IF($C9&gt;0,G9,"")</f>
        <v/>
      </c>
      <c r="H39" s="357" t="str">
        <f t="shared" si="4"/>
        <v/>
      </c>
      <c r="I39" s="22"/>
    </row>
    <row r="40" spans="1:18" ht="15" customHeight="1" x14ac:dyDescent="0.25">
      <c r="A40" s="973"/>
      <c r="C40" s="355" t="str">
        <f t="shared" si="1"/>
        <v/>
      </c>
      <c r="D40" s="1132" t="str">
        <f t="shared" si="2"/>
        <v/>
      </c>
      <c r="E40" s="1132"/>
      <c r="F40" s="1132"/>
      <c r="G40" s="357" t="str">
        <f t="shared" ref="G40:H40" si="5">IF($C10&gt;0,G10,"")</f>
        <v/>
      </c>
      <c r="H40" s="357" t="str">
        <f t="shared" si="5"/>
        <v/>
      </c>
      <c r="J40" s="30"/>
    </row>
    <row r="41" spans="1:18" x14ac:dyDescent="0.25">
      <c r="A41" s="973"/>
      <c r="C41" s="355" t="str">
        <f t="shared" si="1"/>
        <v/>
      </c>
      <c r="D41" s="1132" t="str">
        <f t="shared" si="2"/>
        <v/>
      </c>
      <c r="E41" s="1132"/>
      <c r="F41" s="1132"/>
      <c r="G41" s="357" t="str">
        <f t="shared" ref="G41:H41" si="6">IF($C11&gt;0,G11,"")</f>
        <v/>
      </c>
      <c r="H41" s="357" t="str">
        <f t="shared" si="6"/>
        <v/>
      </c>
      <c r="J41" s="30"/>
    </row>
    <row r="42" spans="1:18" x14ac:dyDescent="0.25">
      <c r="A42" s="973"/>
      <c r="C42" s="355" t="str">
        <f t="shared" si="1"/>
        <v/>
      </c>
      <c r="D42" s="1132" t="str">
        <f t="shared" si="2"/>
        <v/>
      </c>
      <c r="E42" s="1132"/>
      <c r="F42" s="1132"/>
      <c r="G42" s="357" t="str">
        <f t="shared" ref="G42:H42" si="7">IF($C12&gt;0,G12,"")</f>
        <v/>
      </c>
      <c r="H42" s="357" t="str">
        <f t="shared" si="7"/>
        <v/>
      </c>
      <c r="J42" s="30"/>
    </row>
    <row r="43" spans="1:18" x14ac:dyDescent="0.25">
      <c r="A43" s="973"/>
      <c r="C43" s="358">
        <f>SUM(C37:C42)</f>
        <v>0</v>
      </c>
      <c r="D43" s="358" t="s">
        <v>234</v>
      </c>
      <c r="E43" s="358"/>
      <c r="F43" s="358"/>
      <c r="G43" s="358"/>
      <c r="H43" s="358"/>
      <c r="J43" s="30"/>
    </row>
    <row r="44" spans="1:18" x14ac:dyDescent="0.25">
      <c r="A44" s="973"/>
      <c r="C44" s="355"/>
      <c r="D44" s="355"/>
      <c r="E44" s="355"/>
      <c r="F44" s="355"/>
      <c r="G44" s="355"/>
      <c r="H44" s="355"/>
    </row>
    <row r="45" spans="1:18" x14ac:dyDescent="0.25">
      <c r="A45" s="973"/>
      <c r="C45" s="355"/>
      <c r="D45" s="355"/>
      <c r="E45" s="45"/>
      <c r="F45" s="45"/>
      <c r="K45" s="171"/>
    </row>
    <row r="46" spans="1:18" ht="15" customHeight="1" x14ac:dyDescent="0.25">
      <c r="A46" s="973"/>
      <c r="C46" s="176"/>
      <c r="D46" s="303"/>
      <c r="E46" s="45"/>
      <c r="F46" s="45"/>
      <c r="K46" s="171"/>
    </row>
    <row r="47" spans="1:18" s="3" customFormat="1" ht="15.75" x14ac:dyDescent="0.25">
      <c r="A47" s="973"/>
      <c r="B47"/>
      <c r="C47" s="361" t="s">
        <v>292</v>
      </c>
      <c r="D47" s="362"/>
      <c r="E47" s="362"/>
      <c r="F47" s="363"/>
      <c r="G47"/>
      <c r="H47"/>
      <c r="I47"/>
      <c r="J47" s="33"/>
      <c r="K47" s="172"/>
      <c r="L47" s="148"/>
      <c r="M47" s="148"/>
      <c r="N47" s="269"/>
      <c r="O47" s="269"/>
      <c r="P47" s="269"/>
      <c r="Q47" s="269"/>
      <c r="R47" s="269"/>
    </row>
    <row r="48" spans="1:18" x14ac:dyDescent="0.25">
      <c r="A48" s="973"/>
      <c r="C48" s="365" t="s">
        <v>287</v>
      </c>
      <c r="D48" s="364"/>
      <c r="E48" s="364"/>
      <c r="F48" s="364"/>
      <c r="K48" s="171"/>
    </row>
    <row r="49" spans="1:18" x14ac:dyDescent="0.25">
      <c r="A49" s="973"/>
      <c r="B49" s="3"/>
      <c r="C49" s="365" t="s">
        <v>288</v>
      </c>
      <c r="D49" s="364"/>
      <c r="E49" s="364"/>
      <c r="F49" s="364"/>
      <c r="I49" s="3"/>
    </row>
    <row r="50" spans="1:18" x14ac:dyDescent="0.25">
      <c r="A50" s="973"/>
      <c r="C50" s="365" t="s">
        <v>289</v>
      </c>
      <c r="D50" s="303"/>
      <c r="E50" s="45"/>
      <c r="F50" s="45"/>
    </row>
    <row r="51" spans="1:18" x14ac:dyDescent="0.25">
      <c r="A51" s="973"/>
      <c r="C51" s="176"/>
      <c r="D51" s="303"/>
      <c r="E51" s="45"/>
      <c r="F51" s="45"/>
    </row>
    <row r="52" spans="1:18" x14ac:dyDescent="0.25">
      <c r="A52" s="973"/>
      <c r="C52" s="176"/>
      <c r="D52" s="303"/>
      <c r="E52" s="45"/>
      <c r="F52" s="45"/>
    </row>
    <row r="53" spans="1:18" x14ac:dyDescent="0.25">
      <c r="A53" s="973"/>
      <c r="C53" s="154"/>
      <c r="D53" s="173"/>
      <c r="E53" s="308"/>
      <c r="F53" s="175"/>
      <c r="G53" s="154"/>
      <c r="H53" s="155"/>
    </row>
    <row r="54" spans="1:18" s="15" customFormat="1" ht="15.75" x14ac:dyDescent="0.25">
      <c r="A54" s="973"/>
      <c r="B54"/>
      <c r="C54" s="176"/>
      <c r="D54" s="177"/>
      <c r="E54" s="216"/>
      <c r="F54" s="178"/>
      <c r="G54" s="176"/>
      <c r="H54" s="179"/>
      <c r="I54"/>
      <c r="J54" s="166"/>
      <c r="K54" s="167"/>
      <c r="L54" s="168"/>
      <c r="M54" s="168"/>
      <c r="N54" s="270"/>
      <c r="O54" s="270"/>
      <c r="P54" s="270"/>
      <c r="Q54" s="270"/>
      <c r="R54" s="270"/>
    </row>
    <row r="55" spans="1:18" x14ac:dyDescent="0.25">
      <c r="A55" s="973"/>
      <c r="C55" s="155" t="s">
        <v>64</v>
      </c>
      <c r="D55" s="45"/>
      <c r="E55" s="45"/>
      <c r="F55" s="170">
        <f>IF(F19&lt;&gt;0,ROUND(N15,2),0)</f>
        <v>0</v>
      </c>
      <c r="G55" s="156"/>
      <c r="H55" s="215"/>
    </row>
    <row r="56" spans="1:18" ht="15.75" x14ac:dyDescent="0.25">
      <c r="A56" s="973"/>
      <c r="B56" s="15"/>
      <c r="C56" s="155" t="str">
        <f>IF(D16&lt;&gt;0,CONCATENATE(F16," (",D16*100,"%):"),"")</f>
        <v/>
      </c>
      <c r="D56" s="42"/>
      <c r="E56" s="185"/>
      <c r="F56" s="170" t="str">
        <f>IF(D16&lt;&gt;0,ROUND(N16,2),"")</f>
        <v/>
      </c>
      <c r="G56" s="42"/>
      <c r="H56" s="45"/>
      <c r="I56" s="15"/>
    </row>
    <row r="57" spans="1:18" x14ac:dyDescent="0.25">
      <c r="A57" s="973"/>
      <c r="C57" s="155" t="str">
        <f>IF(N17&gt;0,"Nebenkosten:","")</f>
        <v/>
      </c>
      <c r="D57" s="45"/>
      <c r="E57" s="45"/>
      <c r="F57" s="170" t="str">
        <f>IF(N17&gt;0,ROUND(N17,2),"")</f>
        <v/>
      </c>
      <c r="G57" s="45"/>
      <c r="H57" s="45"/>
    </row>
    <row r="58" spans="1:18" x14ac:dyDescent="0.25">
      <c r="A58" s="973"/>
      <c r="C58" s="221"/>
      <c r="D58" s="221"/>
      <c r="E58" s="221"/>
      <c r="F58" s="222"/>
      <c r="G58" s="221"/>
      <c r="H58" s="221"/>
    </row>
    <row r="59" spans="1:18" x14ac:dyDescent="0.25">
      <c r="A59" s="973"/>
      <c r="C59" s="45" t="str">
        <f>IF(E18&gt;0,"Nebenkosten:","")</f>
        <v/>
      </c>
      <c r="D59" s="45"/>
      <c r="E59" s="45"/>
      <c r="F59" s="170" t="str">
        <f>IF(E18&gt;0,ROUND(E18,2),"")</f>
        <v/>
      </c>
      <c r="G59" s="45"/>
      <c r="H59" s="45"/>
    </row>
    <row r="60" spans="1:18" s="25" customFormat="1" ht="15.75" x14ac:dyDescent="0.25">
      <c r="A60" s="973"/>
      <c r="B60"/>
      <c r="C60" s="445" t="s">
        <v>71</v>
      </c>
      <c r="D60" s="159"/>
      <c r="E60" s="159"/>
      <c r="F60" s="165"/>
      <c r="G60" s="967">
        <f>IF(F19=1,SUM(F54:F58),0)</f>
        <v>0</v>
      </c>
      <c r="H60" s="967"/>
      <c r="I60"/>
      <c r="J60" s="31"/>
      <c r="K60" s="150"/>
      <c r="L60" s="151"/>
      <c r="M60" s="151"/>
      <c r="N60" s="271"/>
      <c r="O60" s="271"/>
      <c r="P60" s="271"/>
      <c r="Q60" s="271"/>
      <c r="R60" s="271"/>
    </row>
    <row r="61" spans="1:18" x14ac:dyDescent="0.25">
      <c r="A61" s="973"/>
      <c r="C61" s="135" t="str">
        <f>IF(O15&lt;&gt;0,"ohne Höhenschichtenlinien (-10%):","")</f>
        <v/>
      </c>
      <c r="D61" s="45"/>
      <c r="E61" s="154"/>
      <c r="F61" s="170" t="str">
        <f>IF(O15&lt;&gt;0,ROUND(O15,2),"")</f>
        <v/>
      </c>
      <c r="G61" s="45"/>
      <c r="H61" s="45"/>
    </row>
    <row r="62" spans="1:18" ht="15.75" x14ac:dyDescent="0.25">
      <c r="A62" s="973"/>
      <c r="B62" s="25"/>
      <c r="C62" s="47" t="str">
        <f>IF(O16&lt;&gt;0,"Höhenkoten nicht freistellen (-5%):","")</f>
        <v/>
      </c>
      <c r="D62" s="215"/>
      <c r="E62" s="176"/>
      <c r="F62" s="223" t="str">
        <f>IF(O16&lt;&gt;0,ROUND(O16,2),"")</f>
        <v/>
      </c>
      <c r="G62" s="215"/>
      <c r="H62" s="215"/>
      <c r="I62" s="25"/>
    </row>
    <row r="63" spans="1:18" x14ac:dyDescent="0.25">
      <c r="A63" s="973"/>
      <c r="C63" s="215"/>
      <c r="D63" s="215"/>
      <c r="E63" s="215"/>
      <c r="F63" s="215"/>
      <c r="G63" s="215"/>
      <c r="H63" s="215"/>
    </row>
    <row r="64" spans="1:18" ht="15.75" x14ac:dyDescent="0.25">
      <c r="A64" s="973"/>
      <c r="C64" s="45"/>
      <c r="D64" s="45"/>
      <c r="E64" s="45"/>
      <c r="F64" s="154"/>
      <c r="G64" s="966"/>
      <c r="H64" s="966"/>
    </row>
    <row r="65" spans="1:8" x14ac:dyDescent="0.25">
      <c r="A65" s="973"/>
      <c r="C65" s="45"/>
      <c r="D65" s="45"/>
      <c r="E65" s="45"/>
      <c r="F65" s="158"/>
      <c r="G65" s="45"/>
      <c r="H65" s="45"/>
    </row>
    <row r="66" spans="1:8" x14ac:dyDescent="0.25">
      <c r="A66" s="973"/>
      <c r="C66" s="45"/>
      <c r="D66" s="45"/>
      <c r="E66" s="45"/>
      <c r="F66" s="45"/>
      <c r="G66" s="155"/>
      <c r="H66" s="45"/>
    </row>
    <row r="67" spans="1:8" x14ac:dyDescent="0.25">
      <c r="A67" s="973"/>
      <c r="C67" s="45"/>
      <c r="D67" s="45"/>
      <c r="E67" s="45"/>
      <c r="F67" s="45"/>
      <c r="G67" s="155"/>
      <c r="H67" s="45"/>
    </row>
    <row r="68" spans="1:8" x14ac:dyDescent="0.25">
      <c r="A68" s="973"/>
      <c r="C68" s="161"/>
      <c r="D68" s="161"/>
      <c r="E68" s="161"/>
      <c r="F68" s="161"/>
      <c r="G68" s="155"/>
      <c r="H68" s="45"/>
    </row>
    <row r="69" spans="1:8" x14ac:dyDescent="0.25">
      <c r="C69" s="45"/>
      <c r="D69" s="45"/>
      <c r="E69" s="45"/>
      <c r="F69" s="45"/>
      <c r="G69" s="45"/>
      <c r="H69" s="45"/>
    </row>
    <row r="70" spans="1:8" x14ac:dyDescent="0.25">
      <c r="G70" s="45"/>
      <c r="H70" s="45"/>
    </row>
    <row r="71" spans="1:8" x14ac:dyDescent="0.25">
      <c r="G71" s="161"/>
      <c r="H71" s="162"/>
    </row>
    <row r="72" spans="1:8" x14ac:dyDescent="0.25">
      <c r="G72" s="45"/>
      <c r="H72" s="45"/>
    </row>
  </sheetData>
  <mergeCells count="28">
    <mergeCell ref="E14:H15"/>
    <mergeCell ref="D37:F37"/>
    <mergeCell ref="D38:F38"/>
    <mergeCell ref="D39:F39"/>
    <mergeCell ref="D40:F40"/>
    <mergeCell ref="F16:G16"/>
    <mergeCell ref="D12:F12"/>
    <mergeCell ref="D7:F7"/>
    <mergeCell ref="D8:F8"/>
    <mergeCell ref="D9:F9"/>
    <mergeCell ref="D10:F10"/>
    <mergeCell ref="D11:F11"/>
    <mergeCell ref="G60:H60"/>
    <mergeCell ref="G64:H64"/>
    <mergeCell ref="G19:H19"/>
    <mergeCell ref="A21:A68"/>
    <mergeCell ref="B22:I22"/>
    <mergeCell ref="B23:I23"/>
    <mergeCell ref="B24:I24"/>
    <mergeCell ref="B25:I25"/>
    <mergeCell ref="B27:I27"/>
    <mergeCell ref="A1:A20"/>
    <mergeCell ref="D2:H2"/>
    <mergeCell ref="D3:H3"/>
    <mergeCell ref="D42:F42"/>
    <mergeCell ref="D36:F36"/>
    <mergeCell ref="D6:F6"/>
    <mergeCell ref="D41:F41"/>
  </mergeCell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Konstante!$D$158:$D$170</xm:f>
          </x14:formula1>
          <xm:sqref>D7:D12</xm:sqref>
        </x14:dataValidation>
        <x14:dataValidation type="list" allowBlank="1" showInputMessage="1" showErrorMessage="1">
          <x14:formula1>
            <xm:f>Konstante!$I$160:$I$162</xm:f>
          </x14:formula1>
          <xm:sqref>G7:G12</xm:sqref>
        </x14:dataValidation>
        <x14:dataValidation type="list" allowBlank="1" showInputMessage="1" showErrorMessage="1">
          <x14:formula1>
            <xm:f>Konstante!$I$167:$I$169</xm:f>
          </x14:formula1>
          <xm:sqref>H7:H12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zoomScaleNormal="100" workbookViewId="0">
      <selection activeCell="C22" sqref="C22"/>
    </sheetView>
  </sheetViews>
  <sheetFormatPr baseColWidth="10" defaultRowHeight="15" x14ac:dyDescent="0.25"/>
  <cols>
    <col min="1" max="1" width="4" style="425" customWidth="1"/>
    <col min="2" max="2" width="4.7109375" style="425" customWidth="1"/>
    <col min="3" max="3" width="5.7109375" style="425" customWidth="1"/>
    <col min="4" max="4" width="35.7109375" style="425" customWidth="1"/>
    <col min="5" max="7" width="8.42578125" style="425" customWidth="1"/>
    <col min="8" max="8" width="11.42578125" style="425" customWidth="1"/>
    <col min="9" max="9" width="4.28515625" style="425" customWidth="1"/>
    <col min="10" max="16384" width="11.42578125" style="425"/>
  </cols>
  <sheetData>
    <row r="1" spans="1:21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CELL("ZEILE",B55)</f>
        <v>55</v>
      </c>
    </row>
    <row r="2" spans="1:21" ht="23.25" x14ac:dyDescent="0.25">
      <c r="A2" s="975"/>
      <c r="B2" s="475"/>
      <c r="C2" s="995" t="s">
        <v>111</v>
      </c>
      <c r="D2" s="996"/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CELL("ZEILE",G87)</f>
        <v>87</v>
      </c>
    </row>
    <row r="3" spans="1:21" ht="15.75" x14ac:dyDescent="0.25">
      <c r="A3" s="975"/>
      <c r="B3" s="516"/>
      <c r="C3" s="516"/>
      <c r="D3" s="516"/>
      <c r="E3" s="516"/>
      <c r="F3" s="516"/>
      <c r="G3" s="516"/>
      <c r="H3" s="516"/>
      <c r="I3" s="516"/>
      <c r="K3" s="268" t="s">
        <v>794</v>
      </c>
      <c r="L3" s="236"/>
      <c r="M3" s="236"/>
      <c r="N3" s="268">
        <f>E47</f>
        <v>0</v>
      </c>
    </row>
    <row r="4" spans="1:21" ht="16.5" thickBot="1" x14ac:dyDescent="0.3">
      <c r="A4" s="975"/>
      <c r="B4" s="516"/>
      <c r="C4" s="516" t="s">
        <v>669</v>
      </c>
      <c r="D4" s="516"/>
      <c r="E4" s="516"/>
      <c r="F4" s="516"/>
      <c r="G4" s="516" t="s">
        <v>668</v>
      </c>
      <c r="H4" s="516" t="s">
        <v>670</v>
      </c>
      <c r="I4" s="516"/>
    </row>
    <row r="5" spans="1:21" s="356" customFormat="1" ht="15" customHeight="1" thickBot="1" x14ac:dyDescent="0.25">
      <c r="A5" s="975"/>
      <c r="B5" s="366"/>
      <c r="C5" s="1179" t="str">
        <f>'6.2'!C5:F5</f>
        <v>Messgehilfe</v>
      </c>
      <c r="D5" s="1180"/>
      <c r="E5" s="1180"/>
      <c r="F5" s="1181"/>
      <c r="G5" s="664" t="str">
        <f>'6.2'!G5</f>
        <v>Geh.</v>
      </c>
      <c r="H5" s="666">
        <f>'6.2'!H5</f>
        <v>39.54</v>
      </c>
      <c r="I5" s="667"/>
    </row>
    <row r="6" spans="1:21" s="356" customFormat="1" ht="15" customHeight="1" thickBot="1" x14ac:dyDescent="0.3">
      <c r="A6" s="975"/>
      <c r="B6" s="366"/>
      <c r="C6" s="1179" t="str">
        <f>'6.2'!C6:F6</f>
        <v>Schreibkraft</v>
      </c>
      <c r="D6" s="1180"/>
      <c r="E6" s="1180"/>
      <c r="F6" s="1181"/>
      <c r="G6" s="664" t="str">
        <f>'6.2'!G6</f>
        <v>Sek.</v>
      </c>
      <c r="H6" s="666">
        <f>'6.2'!H6</f>
        <v>51.4</v>
      </c>
      <c r="I6" s="667"/>
      <c r="M6" s="425"/>
      <c r="N6" s="425"/>
      <c r="O6" s="425"/>
      <c r="P6" s="425"/>
    </row>
    <row r="7" spans="1:21" s="356" customFormat="1" ht="15" customHeight="1" thickBot="1" x14ac:dyDescent="0.3">
      <c r="A7" s="975"/>
      <c r="B7" s="366"/>
      <c r="C7" s="1179" t="str">
        <f>'6.2'!C7:F7</f>
        <v>Techniker</v>
      </c>
      <c r="D7" s="1180"/>
      <c r="E7" s="1180"/>
      <c r="F7" s="1181"/>
      <c r="G7" s="664" t="str">
        <f>'6.2'!G7</f>
        <v>Tech.</v>
      </c>
      <c r="H7" s="666">
        <f>'6.2'!H7</f>
        <v>63.26</v>
      </c>
      <c r="I7" s="667"/>
      <c r="M7" s="425"/>
      <c r="N7" s="425"/>
      <c r="O7" s="425"/>
      <c r="P7" s="425"/>
      <c r="R7" s="668"/>
      <c r="S7" s="668"/>
      <c r="T7" s="668"/>
      <c r="U7" s="668"/>
    </row>
    <row r="8" spans="1:21" s="356" customFormat="1" ht="15" customHeight="1" thickBot="1" x14ac:dyDescent="0.25">
      <c r="A8" s="975"/>
      <c r="B8" s="366"/>
      <c r="C8" s="1179" t="str">
        <f>'6.2'!C8:F8</f>
        <v>CAD-Auswertestunde</v>
      </c>
      <c r="D8" s="1180"/>
      <c r="E8" s="1180"/>
      <c r="F8" s="1181"/>
      <c r="G8" s="664" t="str">
        <f>'6.2'!G8</f>
        <v>CAD</v>
      </c>
      <c r="H8" s="666">
        <f>'6.2'!H8</f>
        <v>75.260000000000005</v>
      </c>
      <c r="I8" s="667"/>
      <c r="R8" s="668"/>
      <c r="S8" s="668"/>
      <c r="T8" s="668"/>
      <c r="U8" s="668"/>
    </row>
    <row r="9" spans="1:21" s="356" customFormat="1" ht="15" customHeight="1" thickBot="1" x14ac:dyDescent="0.25">
      <c r="A9" s="975"/>
      <c r="B9" s="534"/>
      <c r="C9" s="1179" t="str">
        <f>'6.2'!C9:F9</f>
        <v>Ingenieur</v>
      </c>
      <c r="D9" s="1180"/>
      <c r="E9" s="1180"/>
      <c r="F9" s="1181"/>
      <c r="G9" s="664" t="str">
        <f>'6.2'!G9</f>
        <v>Ing.</v>
      </c>
      <c r="H9" s="666">
        <f>'6.2'!H9</f>
        <v>79.08</v>
      </c>
      <c r="I9" s="534"/>
      <c r="R9" s="668"/>
      <c r="S9" s="668"/>
      <c r="T9" s="668"/>
      <c r="U9" s="668"/>
    </row>
    <row r="10" spans="1:21" s="356" customFormat="1" ht="15" customHeight="1" thickBot="1" x14ac:dyDescent="0.25">
      <c r="A10" s="975"/>
      <c r="B10" s="534"/>
      <c r="C10" s="1179" t="str">
        <f>'6.2'!C10:F10</f>
        <v>qualifizierter Ingenieur (Klasse V)</v>
      </c>
      <c r="D10" s="1180"/>
      <c r="E10" s="1180"/>
      <c r="F10" s="1181"/>
      <c r="G10" s="664" t="str">
        <f>'6.2'!G10</f>
        <v>Ing. V</v>
      </c>
      <c r="H10" s="666">
        <f>'6.2'!H10</f>
        <v>90.94</v>
      </c>
      <c r="I10" s="534"/>
      <c r="O10" s="668"/>
      <c r="P10" s="668"/>
      <c r="R10" s="668"/>
      <c r="S10" s="668"/>
      <c r="T10" s="668"/>
      <c r="U10" s="668"/>
    </row>
    <row r="11" spans="1:21" s="356" customFormat="1" ht="15" customHeight="1" thickBot="1" x14ac:dyDescent="0.3">
      <c r="A11" s="975"/>
      <c r="B11" s="534"/>
      <c r="C11" s="1179" t="str">
        <f>'6.2'!C11:F11</f>
        <v>qualifizierter Ingenieur (Klasse VI)</v>
      </c>
      <c r="D11" s="1180"/>
      <c r="E11" s="1180"/>
      <c r="F11" s="1181"/>
      <c r="G11" s="664" t="str">
        <f>'6.2'!G11</f>
        <v>Ing. VII</v>
      </c>
      <c r="H11" s="666">
        <f>'6.2'!H11</f>
        <v>98.85</v>
      </c>
      <c r="I11" s="534"/>
      <c r="K11" s="421"/>
      <c r="L11" s="425"/>
      <c r="O11" s="668"/>
      <c r="P11" s="668"/>
      <c r="R11" s="668"/>
      <c r="S11" s="668"/>
      <c r="T11" s="668"/>
      <c r="U11" s="668"/>
    </row>
    <row r="12" spans="1:21" s="356" customFormat="1" ht="15" customHeight="1" thickBot="1" x14ac:dyDescent="0.3">
      <c r="A12" s="975"/>
      <c r="B12" s="534"/>
      <c r="C12" s="1179" t="str">
        <f>'6.2'!C12:F12</f>
        <v>qualifizierter Ingenieur (Klasse VII)</v>
      </c>
      <c r="D12" s="1180"/>
      <c r="E12" s="1180"/>
      <c r="F12" s="1181"/>
      <c r="G12" s="664" t="str">
        <f>'6.2'!G12</f>
        <v>Ing. VIII</v>
      </c>
      <c r="H12" s="666">
        <f>'6.2'!H12</f>
        <v>118.62</v>
      </c>
      <c r="I12" s="534"/>
      <c r="K12" s="425"/>
      <c r="L12" s="425"/>
      <c r="O12" s="668"/>
      <c r="P12" s="668"/>
      <c r="R12" s="668"/>
      <c r="S12" s="668"/>
      <c r="T12" s="668"/>
      <c r="U12" s="668"/>
    </row>
    <row r="13" spans="1:21" s="356" customFormat="1" ht="15" customHeight="1" thickBot="1" x14ac:dyDescent="0.3">
      <c r="A13" s="975"/>
      <c r="B13" s="534"/>
      <c r="C13" s="1179" t="str">
        <f>'6.2'!C13:F13</f>
        <v>Ziviltechnikerleistung</v>
      </c>
      <c r="D13" s="1180"/>
      <c r="E13" s="1180"/>
      <c r="F13" s="1181"/>
      <c r="G13" s="664" t="str">
        <f>'6.2'!G13</f>
        <v>ZT</v>
      </c>
      <c r="H13" s="666">
        <f>'6.2'!H13</f>
        <v>158.16</v>
      </c>
      <c r="I13" s="534"/>
      <c r="L13" s="722"/>
      <c r="O13" s="668"/>
      <c r="P13" s="668"/>
      <c r="R13" s="668"/>
      <c r="S13" s="668"/>
      <c r="T13" s="668"/>
      <c r="U13" s="668"/>
    </row>
    <row r="14" spans="1:21" s="356" customFormat="1" ht="15" customHeight="1" thickBot="1" x14ac:dyDescent="0.3">
      <c r="A14" s="975"/>
      <c r="B14" s="534"/>
      <c r="C14" s="1179" t="str">
        <f>'6.2'!C14:F14</f>
        <v>1-Mann-Partie inkl. Gerät</v>
      </c>
      <c r="D14" s="1180"/>
      <c r="E14" s="1180"/>
      <c r="F14" s="1181"/>
      <c r="G14" s="664" t="str">
        <f>'6.2'!G14</f>
        <v>1MP</v>
      </c>
      <c r="H14" s="666">
        <f>'6.2'!H14</f>
        <v>94.89</v>
      </c>
      <c r="I14" s="534"/>
      <c r="L14" s="425"/>
      <c r="O14" s="668"/>
      <c r="P14" s="668"/>
      <c r="Q14" s="668"/>
      <c r="R14" s="668"/>
      <c r="S14" s="668"/>
      <c r="T14" s="668"/>
      <c r="U14" s="668"/>
    </row>
    <row r="15" spans="1:21" s="356" customFormat="1" ht="15" customHeight="1" thickBot="1" x14ac:dyDescent="0.25">
      <c r="A15" s="975"/>
      <c r="B15" s="534"/>
      <c r="C15" s="1179" t="str">
        <f>'6.2'!C15:F15</f>
        <v>2-Mann-Partie inkl. Gerät</v>
      </c>
      <c r="D15" s="1180"/>
      <c r="E15" s="1180"/>
      <c r="F15" s="1181"/>
      <c r="G15" s="664" t="str">
        <f>'6.2'!G15</f>
        <v>2MP</v>
      </c>
      <c r="H15" s="666">
        <f>'6.2'!H15</f>
        <v>138.38999999999999</v>
      </c>
      <c r="I15" s="534"/>
      <c r="L15" s="669"/>
      <c r="O15" s="668"/>
      <c r="P15" s="668"/>
      <c r="Q15" s="668"/>
      <c r="R15" s="668"/>
      <c r="S15" s="668"/>
      <c r="T15" s="668"/>
      <c r="U15" s="668"/>
    </row>
    <row r="16" spans="1:21" s="356" customFormat="1" ht="15" customHeight="1" thickBot="1" x14ac:dyDescent="0.3">
      <c r="A16" s="975"/>
      <c r="B16" s="534"/>
      <c r="C16" s="1179" t="str">
        <f>'6.2'!C16:F16</f>
        <v>Einsatzpauschale (20km An/Abfahrt)</v>
      </c>
      <c r="D16" s="1180"/>
      <c r="E16" s="1180"/>
      <c r="F16" s="1181"/>
      <c r="G16" s="664" t="str">
        <f>'6.2'!G16</f>
        <v>Einsatz</v>
      </c>
      <c r="H16" s="666">
        <f>'6.2'!H16</f>
        <v>148.79</v>
      </c>
      <c r="I16" s="534"/>
      <c r="K16" s="421"/>
      <c r="L16" s="669"/>
      <c r="M16" s="668"/>
      <c r="N16" s="668"/>
      <c r="O16" s="668"/>
      <c r="P16" s="668"/>
      <c r="Q16" s="668"/>
      <c r="R16" s="668"/>
      <c r="S16" s="668"/>
      <c r="T16" s="668"/>
      <c r="U16" s="668"/>
    </row>
    <row r="17" spans="1:21" s="356" customFormat="1" ht="15" customHeight="1" thickBot="1" x14ac:dyDescent="0.3">
      <c r="A17" s="975"/>
      <c r="B17" s="534"/>
      <c r="C17" s="1179" t="str">
        <f>'6.2'!C17:F17</f>
        <v>Instrument (Messgerät) oder CAD-Ausrüstung</v>
      </c>
      <c r="D17" s="945"/>
      <c r="E17" s="945"/>
      <c r="F17" s="946"/>
      <c r="G17" s="664" t="str">
        <f>'6.2'!G17</f>
        <v>Instr/CAD</v>
      </c>
      <c r="H17" s="666">
        <f>'6.2'!H17</f>
        <v>11.86</v>
      </c>
      <c r="I17" s="534"/>
      <c r="L17" s="425"/>
      <c r="O17" s="668"/>
      <c r="P17" s="668"/>
      <c r="Q17" s="668"/>
      <c r="R17" s="668"/>
      <c r="S17" s="668"/>
      <c r="T17" s="668"/>
      <c r="U17" s="668"/>
    </row>
    <row r="18" spans="1:21" s="356" customFormat="1" ht="15" customHeight="1" thickBot="1" x14ac:dyDescent="0.3">
      <c r="A18" s="975"/>
      <c r="B18" s="534"/>
      <c r="C18" s="1179" t="str">
        <f>'6.2'!C18:F18</f>
        <v>Aufschlag für höherwertiges Instrument</v>
      </c>
      <c r="D18" s="1180"/>
      <c r="E18" s="1180"/>
      <c r="F18" s="1181"/>
      <c r="G18" s="664" t="str">
        <f>'6.2'!G18</f>
        <v>Instr+</v>
      </c>
      <c r="H18" s="666">
        <f>'6.2'!H18</f>
        <v>3.95</v>
      </c>
      <c r="I18" s="534"/>
      <c r="L18" s="425"/>
      <c r="M18" s="668"/>
      <c r="N18" s="668"/>
      <c r="O18" s="668"/>
      <c r="P18" s="668"/>
      <c r="Q18" s="668"/>
      <c r="R18" s="668"/>
      <c r="S18" s="668"/>
      <c r="T18" s="668"/>
      <c r="U18" s="668"/>
    </row>
    <row r="19" spans="1:21" s="356" customFormat="1" ht="15" customHeight="1" x14ac:dyDescent="0.25">
      <c r="A19" s="975"/>
      <c r="B19" s="534"/>
      <c r="C19" s="534"/>
      <c r="D19" s="534"/>
      <c r="E19" s="534"/>
      <c r="F19" s="534"/>
      <c r="G19" s="534"/>
      <c r="H19" s="534"/>
      <c r="I19" s="534"/>
      <c r="L19" s="425"/>
      <c r="M19" s="425"/>
      <c r="N19" s="668"/>
      <c r="O19" s="668"/>
      <c r="P19" s="668"/>
      <c r="Q19" s="668"/>
      <c r="R19" s="668"/>
      <c r="S19" s="668"/>
      <c r="T19" s="668"/>
      <c r="U19" s="668"/>
    </row>
    <row r="20" spans="1:21" s="356" customFormat="1" ht="15" customHeight="1" x14ac:dyDescent="0.25">
      <c r="A20" s="975"/>
      <c r="B20" s="534"/>
      <c r="C20" s="534"/>
      <c r="D20" s="534"/>
      <c r="E20" s="534"/>
      <c r="F20" s="534"/>
      <c r="G20" s="534"/>
      <c r="H20" s="534"/>
      <c r="I20" s="534"/>
      <c r="K20" s="421"/>
      <c r="L20" s="425"/>
      <c r="M20" s="425"/>
      <c r="N20" s="668"/>
      <c r="O20" s="668"/>
      <c r="P20" s="668"/>
      <c r="Q20" s="668"/>
      <c r="R20" s="668"/>
      <c r="S20" s="668"/>
      <c r="T20" s="668"/>
      <c r="U20" s="668"/>
    </row>
    <row r="21" spans="1:21" s="356" customFormat="1" ht="15" customHeight="1" thickBot="1" x14ac:dyDescent="0.3">
      <c r="A21" s="975"/>
      <c r="B21" s="534"/>
      <c r="C21" s="534" t="s">
        <v>690</v>
      </c>
      <c r="D21" s="534" t="s">
        <v>691</v>
      </c>
      <c r="E21" s="672" t="s">
        <v>689</v>
      </c>
      <c r="F21" s="672" t="s">
        <v>694</v>
      </c>
      <c r="G21" s="672" t="s">
        <v>670</v>
      </c>
      <c r="H21" s="672" t="s">
        <v>688</v>
      </c>
      <c r="I21" s="534"/>
      <c r="K21" s="668"/>
      <c r="L21" s="425"/>
      <c r="M21" s="425"/>
      <c r="N21" s="668"/>
      <c r="O21" s="668"/>
      <c r="P21" s="668"/>
    </row>
    <row r="22" spans="1:21" ht="16.5" thickBot="1" x14ac:dyDescent="0.3">
      <c r="A22" s="975"/>
      <c r="B22" s="92"/>
      <c r="C22" s="731"/>
      <c r="D22" s="685"/>
      <c r="E22" s="665"/>
      <c r="F22" s="665"/>
      <c r="G22" s="684" t="str">
        <f>IF(E22&lt;&gt;"",VLOOKUP(E22,G$5:H$18,2,FALSE),"")</f>
        <v/>
      </c>
      <c r="H22" s="684" t="str">
        <f t="shared" ref="H22:H41" si="0">IF(AND(E22&lt;&gt;"",F22&lt;&gt;"",F22&gt;0),F22*G22,"")</f>
        <v/>
      </c>
      <c r="I22" s="93"/>
      <c r="K22" s="513"/>
      <c r="L22" s="513"/>
      <c r="N22" s="513"/>
      <c r="O22" s="513"/>
      <c r="P22" s="513"/>
    </row>
    <row r="23" spans="1:21" ht="16.5" thickBot="1" x14ac:dyDescent="0.3">
      <c r="A23" s="975"/>
      <c r="B23" s="516"/>
      <c r="C23" s="731"/>
      <c r="D23" s="685"/>
      <c r="E23" s="665"/>
      <c r="F23" s="665"/>
      <c r="G23" s="684" t="str">
        <f t="shared" ref="G23:G41" si="1">IF(E23&lt;&gt;"",VLOOKUP(E23,G$5:H$18,2,FALSE),"")</f>
        <v/>
      </c>
      <c r="H23" s="684" t="str">
        <f t="shared" si="0"/>
        <v/>
      </c>
      <c r="I23" s="516"/>
      <c r="K23" s="513"/>
      <c r="L23" s="513"/>
      <c r="N23" s="513"/>
      <c r="O23" s="513"/>
      <c r="P23" s="513"/>
    </row>
    <row r="24" spans="1:21" ht="16.5" thickBot="1" x14ac:dyDescent="0.3">
      <c r="A24" s="975"/>
      <c r="B24" s="516"/>
      <c r="C24" s="731"/>
      <c r="D24" s="685"/>
      <c r="E24" s="665"/>
      <c r="F24" s="665"/>
      <c r="G24" s="684" t="str">
        <f t="shared" si="1"/>
        <v/>
      </c>
      <c r="H24" s="684" t="str">
        <f t="shared" si="0"/>
        <v/>
      </c>
      <c r="I24" s="516"/>
      <c r="K24" s="513"/>
      <c r="L24" s="513"/>
      <c r="M24" s="518"/>
      <c r="N24" s="513"/>
      <c r="O24" s="513"/>
      <c r="P24" s="513"/>
    </row>
    <row r="25" spans="1:21" ht="16.5" thickBot="1" x14ac:dyDescent="0.3">
      <c r="A25" s="975"/>
      <c r="B25" s="516"/>
      <c r="C25" s="731"/>
      <c r="D25" s="685"/>
      <c r="E25" s="665"/>
      <c r="F25" s="665"/>
      <c r="G25" s="684" t="str">
        <f t="shared" si="1"/>
        <v/>
      </c>
      <c r="H25" s="684" t="str">
        <f t="shared" si="0"/>
        <v/>
      </c>
      <c r="I25" s="516"/>
      <c r="K25" s="513"/>
      <c r="L25" s="723"/>
      <c r="M25" s="518"/>
      <c r="N25" s="513"/>
      <c r="O25" s="513"/>
      <c r="P25" s="513"/>
    </row>
    <row r="26" spans="1:21" ht="16.5" thickBot="1" x14ac:dyDescent="0.3">
      <c r="A26" s="975"/>
      <c r="B26" s="516"/>
      <c r="C26" s="731"/>
      <c r="D26" s="685"/>
      <c r="E26" s="665"/>
      <c r="F26" s="665"/>
      <c r="G26" s="684" t="str">
        <f t="shared" si="1"/>
        <v/>
      </c>
      <c r="H26" s="684" t="str">
        <f t="shared" si="0"/>
        <v/>
      </c>
      <c r="I26" s="516"/>
      <c r="K26" s="513"/>
      <c r="L26" s="513"/>
      <c r="M26" s="518"/>
      <c r="N26" s="513"/>
      <c r="O26" s="513"/>
      <c r="P26" s="513"/>
    </row>
    <row r="27" spans="1:21" ht="16.5" thickBot="1" x14ac:dyDescent="0.3">
      <c r="A27" s="975"/>
      <c r="B27" s="516"/>
      <c r="C27" s="731"/>
      <c r="D27" s="685"/>
      <c r="E27" s="665"/>
      <c r="F27" s="665"/>
      <c r="G27" s="684" t="str">
        <f t="shared" si="1"/>
        <v/>
      </c>
      <c r="H27" s="684" t="str">
        <f t="shared" si="0"/>
        <v/>
      </c>
      <c r="I27" s="516"/>
      <c r="K27" s="513"/>
      <c r="L27" s="513"/>
      <c r="M27" s="518"/>
      <c r="N27" s="513"/>
      <c r="O27" s="513"/>
      <c r="P27" s="513"/>
    </row>
    <row r="28" spans="1:21" ht="16.5" thickBot="1" x14ac:dyDescent="0.3">
      <c r="A28" s="975"/>
      <c r="B28" s="516"/>
      <c r="C28" s="731"/>
      <c r="D28" s="685"/>
      <c r="E28" s="665"/>
      <c r="F28" s="665"/>
      <c r="G28" s="684" t="str">
        <f t="shared" si="1"/>
        <v/>
      </c>
      <c r="H28" s="684" t="str">
        <f t="shared" si="0"/>
        <v/>
      </c>
      <c r="I28" s="516"/>
      <c r="K28" s="513"/>
      <c r="L28" s="513"/>
      <c r="M28" s="518"/>
      <c r="N28" s="513"/>
      <c r="O28" s="513"/>
      <c r="P28" s="513"/>
    </row>
    <row r="29" spans="1:21" ht="16.5" thickBot="1" x14ac:dyDescent="0.3">
      <c r="A29" s="975"/>
      <c r="B29" s="516"/>
      <c r="C29" s="731"/>
      <c r="D29" s="685"/>
      <c r="E29" s="665"/>
      <c r="F29" s="665"/>
      <c r="G29" s="684" t="str">
        <f t="shared" si="1"/>
        <v/>
      </c>
      <c r="H29" s="684" t="str">
        <f t="shared" si="0"/>
        <v/>
      </c>
      <c r="I29" s="516"/>
      <c r="K29" s="513"/>
      <c r="L29" s="513"/>
      <c r="M29" s="518"/>
      <c r="N29" s="513"/>
      <c r="O29" s="513"/>
      <c r="P29" s="513"/>
    </row>
    <row r="30" spans="1:21" ht="16.5" thickBot="1" x14ac:dyDescent="0.3">
      <c r="A30" s="975"/>
      <c r="B30" s="516"/>
      <c r="C30" s="731"/>
      <c r="D30" s="685"/>
      <c r="E30" s="665"/>
      <c r="F30" s="665"/>
      <c r="G30" s="684" t="str">
        <f t="shared" si="1"/>
        <v/>
      </c>
      <c r="H30" s="684" t="str">
        <f t="shared" si="0"/>
        <v/>
      </c>
      <c r="I30" s="516"/>
      <c r="K30" s="513"/>
      <c r="L30" s="513"/>
      <c r="M30" s="518"/>
      <c r="N30" s="513"/>
      <c r="O30" s="513"/>
      <c r="P30" s="513"/>
    </row>
    <row r="31" spans="1:21" ht="16.5" thickBot="1" x14ac:dyDescent="0.3">
      <c r="A31" s="975"/>
      <c r="B31" s="516"/>
      <c r="C31" s="731"/>
      <c r="D31" s="685"/>
      <c r="E31" s="665"/>
      <c r="F31" s="665"/>
      <c r="G31" s="684" t="str">
        <f t="shared" si="1"/>
        <v/>
      </c>
      <c r="H31" s="684" t="str">
        <f t="shared" si="0"/>
        <v/>
      </c>
      <c r="I31" s="516"/>
      <c r="K31" s="513"/>
      <c r="L31" s="513"/>
      <c r="M31" s="518"/>
      <c r="N31" s="513"/>
      <c r="O31" s="513"/>
      <c r="P31" s="513"/>
    </row>
    <row r="32" spans="1:21" ht="16.5" thickBot="1" x14ac:dyDescent="0.3">
      <c r="A32" s="975"/>
      <c r="B32" s="516"/>
      <c r="C32" s="731"/>
      <c r="D32" s="685"/>
      <c r="E32" s="665"/>
      <c r="F32" s="665"/>
      <c r="G32" s="684" t="str">
        <f t="shared" si="1"/>
        <v/>
      </c>
      <c r="H32" s="684" t="str">
        <f t="shared" si="0"/>
        <v/>
      </c>
      <c r="I32" s="516"/>
      <c r="K32" s="513"/>
      <c r="L32" s="513"/>
      <c r="M32" s="518"/>
      <c r="N32" s="513"/>
      <c r="O32" s="513"/>
      <c r="P32" s="513"/>
    </row>
    <row r="33" spans="1:16" ht="16.5" thickBot="1" x14ac:dyDescent="0.3">
      <c r="A33" s="975"/>
      <c r="B33" s="516"/>
      <c r="C33" s="731"/>
      <c r="D33" s="685"/>
      <c r="E33" s="665"/>
      <c r="F33" s="665"/>
      <c r="G33" s="684" t="str">
        <f t="shared" si="1"/>
        <v/>
      </c>
      <c r="H33" s="684" t="str">
        <f t="shared" si="0"/>
        <v/>
      </c>
      <c r="I33" s="516"/>
      <c r="K33" s="513"/>
      <c r="L33" s="513"/>
      <c r="M33" s="518"/>
      <c r="N33" s="513"/>
      <c r="O33" s="513"/>
      <c r="P33" s="513"/>
    </row>
    <row r="34" spans="1:16" ht="16.5" thickBot="1" x14ac:dyDescent="0.3">
      <c r="A34" s="975"/>
      <c r="B34" s="516"/>
      <c r="C34" s="731"/>
      <c r="D34" s="685"/>
      <c r="E34" s="665"/>
      <c r="F34" s="665"/>
      <c r="G34" s="684" t="str">
        <f t="shared" si="1"/>
        <v/>
      </c>
      <c r="H34" s="684" t="str">
        <f t="shared" si="0"/>
        <v/>
      </c>
      <c r="I34" s="516"/>
      <c r="K34" s="513"/>
      <c r="L34" s="513"/>
      <c r="M34" s="518"/>
      <c r="N34" s="513"/>
      <c r="O34" s="513"/>
      <c r="P34" s="513"/>
    </row>
    <row r="35" spans="1:16" ht="16.5" thickBot="1" x14ac:dyDescent="0.3">
      <c r="A35" s="975"/>
      <c r="B35" s="516"/>
      <c r="C35" s="731"/>
      <c r="D35" s="685"/>
      <c r="E35" s="665"/>
      <c r="F35" s="665"/>
      <c r="G35" s="684" t="str">
        <f t="shared" si="1"/>
        <v/>
      </c>
      <c r="H35" s="684" t="str">
        <f t="shared" si="0"/>
        <v/>
      </c>
      <c r="I35" s="516"/>
      <c r="K35" s="513"/>
      <c r="L35" s="513"/>
      <c r="M35" s="518"/>
      <c r="N35" s="513"/>
      <c r="O35" s="513"/>
      <c r="P35" s="513"/>
    </row>
    <row r="36" spans="1:16" ht="16.5" thickBot="1" x14ac:dyDescent="0.3">
      <c r="A36" s="975"/>
      <c r="B36" s="516"/>
      <c r="C36" s="731"/>
      <c r="D36" s="685"/>
      <c r="E36" s="665"/>
      <c r="F36" s="665"/>
      <c r="G36" s="684" t="str">
        <f t="shared" si="1"/>
        <v/>
      </c>
      <c r="H36" s="684" t="str">
        <f t="shared" si="0"/>
        <v/>
      </c>
      <c r="I36" s="516"/>
      <c r="K36" s="513"/>
      <c r="L36" s="513"/>
      <c r="M36" s="518"/>
      <c r="N36" s="513"/>
      <c r="O36" s="513"/>
      <c r="P36" s="513"/>
    </row>
    <row r="37" spans="1:16" ht="16.5" thickBot="1" x14ac:dyDescent="0.3">
      <c r="A37" s="975"/>
      <c r="B37" s="516"/>
      <c r="C37" s="731"/>
      <c r="D37" s="685"/>
      <c r="E37" s="665"/>
      <c r="F37" s="665"/>
      <c r="G37" s="684" t="str">
        <f t="shared" si="1"/>
        <v/>
      </c>
      <c r="H37" s="684" t="str">
        <f t="shared" si="0"/>
        <v/>
      </c>
      <c r="I37" s="516"/>
      <c r="K37" s="513"/>
      <c r="L37" s="513"/>
      <c r="M37" s="518"/>
      <c r="N37" s="513"/>
      <c r="O37" s="513"/>
      <c r="P37" s="513"/>
    </row>
    <row r="38" spans="1:16" ht="16.5" thickBot="1" x14ac:dyDescent="0.3">
      <c r="A38" s="975"/>
      <c r="B38" s="516"/>
      <c r="C38" s="731"/>
      <c r="D38" s="685"/>
      <c r="E38" s="665"/>
      <c r="F38" s="665"/>
      <c r="G38" s="684" t="str">
        <f t="shared" si="1"/>
        <v/>
      </c>
      <c r="H38" s="684" t="str">
        <f t="shared" si="0"/>
        <v/>
      </c>
      <c r="I38" s="516"/>
      <c r="K38" s="513"/>
      <c r="L38" s="513"/>
      <c r="M38" s="518"/>
      <c r="N38" s="513"/>
      <c r="O38" s="513"/>
      <c r="P38" s="513"/>
    </row>
    <row r="39" spans="1:16" ht="16.5" thickBot="1" x14ac:dyDescent="0.3">
      <c r="A39" s="975"/>
      <c r="B39" s="516"/>
      <c r="C39" s="731"/>
      <c r="D39" s="685"/>
      <c r="E39" s="665"/>
      <c r="F39" s="665"/>
      <c r="G39" s="684" t="str">
        <f t="shared" si="1"/>
        <v/>
      </c>
      <c r="H39" s="684" t="str">
        <f t="shared" si="0"/>
        <v/>
      </c>
      <c r="I39" s="516"/>
      <c r="K39" s="513"/>
      <c r="L39" s="513"/>
      <c r="M39" s="518"/>
      <c r="N39" s="513"/>
      <c r="O39" s="513"/>
      <c r="P39" s="513"/>
    </row>
    <row r="40" spans="1:16" ht="16.5" thickBot="1" x14ac:dyDescent="0.3">
      <c r="A40" s="975"/>
      <c r="B40" s="516"/>
      <c r="C40" s="731"/>
      <c r="D40" s="685"/>
      <c r="E40" s="665"/>
      <c r="F40" s="665"/>
      <c r="G40" s="684" t="str">
        <f t="shared" si="1"/>
        <v/>
      </c>
      <c r="H40" s="684" t="str">
        <f t="shared" si="0"/>
        <v/>
      </c>
      <c r="I40" s="516"/>
      <c r="K40" s="513"/>
      <c r="L40" s="513"/>
      <c r="M40" s="518"/>
      <c r="N40" s="513"/>
      <c r="O40" s="513"/>
      <c r="P40" s="513"/>
    </row>
    <row r="41" spans="1:16" ht="16.5" thickBot="1" x14ac:dyDescent="0.3">
      <c r="A41" s="975"/>
      <c r="B41" s="516"/>
      <c r="C41" s="731"/>
      <c r="D41" s="685"/>
      <c r="E41" s="665"/>
      <c r="F41" s="665"/>
      <c r="G41" s="684" t="str">
        <f t="shared" si="1"/>
        <v/>
      </c>
      <c r="H41" s="684" t="str">
        <f t="shared" si="0"/>
        <v/>
      </c>
      <c r="I41" s="516"/>
      <c r="K41" s="513"/>
      <c r="L41" s="513"/>
      <c r="M41" s="518"/>
      <c r="N41" s="513"/>
      <c r="O41" s="513"/>
      <c r="P41" s="513"/>
    </row>
    <row r="42" spans="1:16" ht="16.5" thickBot="1" x14ac:dyDescent="0.3">
      <c r="A42" s="975"/>
      <c r="B42" s="516"/>
      <c r="C42" s="516"/>
      <c r="D42" s="516"/>
      <c r="E42" s="516"/>
      <c r="F42" s="516"/>
      <c r="G42" s="516"/>
      <c r="H42" s="686" t="str">
        <f>IF(VSK&lt;&gt;0, SUM(H22:H41),"")</f>
        <v/>
      </c>
      <c r="I42" s="516"/>
      <c r="K42" s="513"/>
      <c r="L42" s="513"/>
      <c r="M42" s="518"/>
      <c r="N42" s="513"/>
      <c r="O42" s="513"/>
      <c r="P42" s="513"/>
    </row>
    <row r="43" spans="1:16" ht="15.75" x14ac:dyDescent="0.25">
      <c r="A43" s="975"/>
      <c r="B43" s="475"/>
      <c r="C43" s="486"/>
      <c r="D43" s="487"/>
      <c r="E43" s="486"/>
      <c r="F43" s="488"/>
      <c r="G43" s="486"/>
      <c r="H43" s="488"/>
      <c r="I43" s="476"/>
      <c r="K43" s="513"/>
      <c r="L43" s="513"/>
      <c r="M43" s="518"/>
      <c r="N43" s="513"/>
      <c r="O43" s="513"/>
      <c r="P43" s="513"/>
    </row>
    <row r="44" spans="1:16" ht="15.75" x14ac:dyDescent="0.25">
      <c r="A44" s="975"/>
      <c r="B44" s="475"/>
      <c r="C44" s="476" t="s">
        <v>34</v>
      </c>
      <c r="D44" s="476"/>
      <c r="E44" s="489"/>
      <c r="F44" s="1030"/>
      <c r="G44" s="1031"/>
      <c r="H44" s="1032"/>
      <c r="I44" s="476"/>
      <c r="K44" s="513"/>
      <c r="L44" s="513"/>
      <c r="M44" s="513"/>
      <c r="N44" s="513"/>
      <c r="O44" s="513"/>
      <c r="P44" s="513"/>
    </row>
    <row r="45" spans="1:16" ht="15.75" x14ac:dyDescent="0.25">
      <c r="A45" s="975"/>
      <c r="B45" s="475"/>
      <c r="C45" s="476" t="s">
        <v>826</v>
      </c>
      <c r="D45" s="476"/>
      <c r="E45" s="732"/>
      <c r="F45" s="1000"/>
      <c r="G45" s="1043"/>
      <c r="H45" s="1001"/>
      <c r="I45" s="476"/>
    </row>
    <row r="46" spans="1:16" ht="15.75" x14ac:dyDescent="0.25">
      <c r="A46" s="975"/>
      <c r="B46" s="475"/>
      <c r="C46" s="476"/>
      <c r="D46" s="476"/>
      <c r="E46" s="491"/>
      <c r="F46" s="476"/>
      <c r="G46" s="475"/>
      <c r="H46" s="475"/>
      <c r="I46" s="474"/>
    </row>
    <row r="47" spans="1:16" ht="21" x14ac:dyDescent="0.35">
      <c r="A47" s="975"/>
      <c r="B47" s="474"/>
      <c r="C47" s="492" t="str">
        <f>IF(VSK=0, "UNVOLLSTÄNDIG AUSGEFÜLLT!","")</f>
        <v>UNVOLLSTÄNDIG AUSGEFÜLLT!</v>
      </c>
      <c r="D47" s="474"/>
      <c r="E47" s="673">
        <f>IF(SUM(H22:H41)&gt;0,1,0)</f>
        <v>0</v>
      </c>
      <c r="F47" s="474"/>
      <c r="G47" s="999" t="str">
        <f>IF(VSK&lt;&gt;0, G87,"")</f>
        <v/>
      </c>
      <c r="H47" s="999"/>
      <c r="I47" s="474"/>
      <c r="P47" s="513"/>
    </row>
    <row r="48" spans="1:16" ht="15.75" x14ac:dyDescent="0.25">
      <c r="A48" s="975"/>
      <c r="B48" s="474"/>
      <c r="C48" s="474"/>
      <c r="D48" s="474"/>
      <c r="E48" s="474"/>
      <c r="F48" s="474"/>
      <c r="G48" s="474"/>
      <c r="H48" s="474"/>
      <c r="I48" s="474"/>
    </row>
    <row r="49" spans="1:15" ht="15" customHeight="1" x14ac:dyDescent="0.25">
      <c r="A49" s="973" t="s">
        <v>72</v>
      </c>
    </row>
    <row r="50" spans="1:15" x14ac:dyDescent="0.25">
      <c r="A50" s="973"/>
      <c r="B50" s="974" t="str">
        <f>CONCATENATE(Gesamt!C2, ": ", Gesamt!E2)</f>
        <v xml:space="preserve">Projekt: </v>
      </c>
      <c r="C50" s="974"/>
      <c r="D50" s="974"/>
      <c r="E50" s="974"/>
      <c r="F50" s="974"/>
      <c r="G50" s="974"/>
      <c r="H50" s="974"/>
      <c r="I50" s="974"/>
    </row>
    <row r="51" spans="1:15" x14ac:dyDescent="0.25">
      <c r="A51" s="973"/>
      <c r="B51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51" s="969"/>
      <c r="D51" s="969"/>
      <c r="E51" s="969"/>
      <c r="F51" s="969"/>
      <c r="G51" s="969"/>
      <c r="H51" s="969"/>
      <c r="I51" s="969"/>
    </row>
    <row r="52" spans="1:15" x14ac:dyDescent="0.25">
      <c r="A52" s="973"/>
      <c r="B52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52" s="969"/>
      <c r="D52" s="969"/>
      <c r="E52" s="969"/>
      <c r="F52" s="969"/>
      <c r="G52" s="969"/>
      <c r="H52" s="969"/>
      <c r="I52" s="969"/>
    </row>
    <row r="53" spans="1:15" x14ac:dyDescent="0.25">
      <c r="A53" s="973"/>
      <c r="B53" s="969" t="s">
        <v>42</v>
      </c>
      <c r="C53" s="969"/>
      <c r="D53" s="969"/>
      <c r="E53" s="969"/>
      <c r="F53" s="969"/>
      <c r="G53" s="969"/>
      <c r="H53" s="969"/>
      <c r="I53" s="969"/>
    </row>
    <row r="54" spans="1:15" x14ac:dyDescent="0.25">
      <c r="A54" s="973"/>
    </row>
    <row r="55" spans="1:15" ht="18.75" x14ac:dyDescent="0.25">
      <c r="A55" s="973"/>
      <c r="B55" s="968" t="str">
        <f>C2</f>
        <v>GEOINFORMATION</v>
      </c>
      <c r="C55" s="968"/>
      <c r="D55" s="968"/>
      <c r="E55" s="968"/>
      <c r="F55" s="968"/>
      <c r="G55" s="968"/>
      <c r="H55" s="968"/>
      <c r="I55" s="968"/>
    </row>
    <row r="56" spans="1:15" x14ac:dyDescent="0.25">
      <c r="A56" s="973"/>
    </row>
    <row r="57" spans="1:15" x14ac:dyDescent="0.25">
      <c r="A57" s="973"/>
      <c r="C57" s="425" t="str">
        <f>CONCATENATE("LB_VG, Pos. 5.1, ",C2)</f>
        <v>LB_VG, Pos. 5.1, GEOINFORMATION</v>
      </c>
    </row>
    <row r="58" spans="1:15" x14ac:dyDescent="0.25">
      <c r="A58" s="973"/>
    </row>
    <row r="59" spans="1:15" x14ac:dyDescent="0.25">
      <c r="A59" s="973"/>
      <c r="C59" s="425" t="s">
        <v>46</v>
      </c>
      <c r="E59" s="367">
        <f>Gesamt!E14</f>
        <v>79.08</v>
      </c>
    </row>
    <row r="60" spans="1:15" x14ac:dyDescent="0.25">
      <c r="A60" s="973"/>
      <c r="C60" s="444"/>
    </row>
    <row r="61" spans="1:15" x14ac:dyDescent="0.25">
      <c r="A61" s="973"/>
      <c r="C61" s="678" t="s">
        <v>690</v>
      </c>
      <c r="D61" s="678" t="s">
        <v>691</v>
      </c>
      <c r="E61" s="679" t="s">
        <v>689</v>
      </c>
      <c r="F61" s="679" t="s">
        <v>694</v>
      </c>
      <c r="G61" s="679" t="s">
        <v>670</v>
      </c>
      <c r="H61" s="679" t="s">
        <v>688</v>
      </c>
    </row>
    <row r="62" spans="1:15" x14ac:dyDescent="0.25">
      <c r="A62" s="973"/>
      <c r="C62" s="682" t="str">
        <f>IF(C22&lt;&gt;"",C22,"")</f>
        <v/>
      </c>
      <c r="D62" s="676" t="str">
        <f t="shared" ref="D62:H62" si="2">IF(D22&lt;&gt;"",D22,"")</f>
        <v/>
      </c>
      <c r="E62" s="675" t="str">
        <f t="shared" si="2"/>
        <v/>
      </c>
      <c r="F62" s="675" t="str">
        <f t="shared" si="2"/>
        <v/>
      </c>
      <c r="G62" s="680" t="str">
        <f t="shared" si="2"/>
        <v/>
      </c>
      <c r="H62" s="677" t="str">
        <f t="shared" si="2"/>
        <v/>
      </c>
      <c r="K62" s="960" t="s">
        <v>700</v>
      </c>
      <c r="L62" s="1017"/>
      <c r="M62" s="1017"/>
      <c r="N62" s="1017"/>
      <c r="O62" s="1018"/>
    </row>
    <row r="63" spans="1:15" x14ac:dyDescent="0.25">
      <c r="A63" s="973"/>
      <c r="C63" s="682" t="str">
        <f t="shared" ref="C63:H78" si="3">IF(C23&lt;&gt;"",C23,"")</f>
        <v/>
      </c>
      <c r="D63" s="676" t="str">
        <f t="shared" si="3"/>
        <v/>
      </c>
      <c r="E63" s="675" t="str">
        <f t="shared" si="3"/>
        <v/>
      </c>
      <c r="F63" s="675" t="str">
        <f t="shared" si="3"/>
        <v/>
      </c>
      <c r="G63" s="680" t="str">
        <f t="shared" si="3"/>
        <v/>
      </c>
      <c r="H63" s="677" t="str">
        <f t="shared" si="3"/>
        <v/>
      </c>
      <c r="K63" s="1019"/>
      <c r="L63" s="1020"/>
      <c r="M63" s="1020"/>
      <c r="N63" s="1020"/>
      <c r="O63" s="1021"/>
    </row>
    <row r="64" spans="1:15" x14ac:dyDescent="0.25">
      <c r="A64" s="973"/>
      <c r="B64" s="437"/>
      <c r="C64" s="682" t="str">
        <f t="shared" si="3"/>
        <v/>
      </c>
      <c r="D64" s="676" t="str">
        <f t="shared" si="3"/>
        <v/>
      </c>
      <c r="E64" s="675" t="str">
        <f t="shared" si="3"/>
        <v/>
      </c>
      <c r="F64" s="675" t="str">
        <f t="shared" si="3"/>
        <v/>
      </c>
      <c r="G64" s="680" t="str">
        <f t="shared" si="3"/>
        <v/>
      </c>
      <c r="H64" s="677" t="str">
        <f t="shared" si="3"/>
        <v/>
      </c>
      <c r="K64" s="1019"/>
      <c r="L64" s="1020"/>
      <c r="M64" s="1020"/>
      <c r="N64" s="1020"/>
      <c r="O64" s="1021"/>
    </row>
    <row r="65" spans="1:15" x14ac:dyDescent="0.25">
      <c r="A65" s="973"/>
      <c r="B65" s="437"/>
      <c r="C65" s="682" t="str">
        <f t="shared" si="3"/>
        <v/>
      </c>
      <c r="D65" s="676" t="str">
        <f t="shared" si="3"/>
        <v/>
      </c>
      <c r="E65" s="675" t="str">
        <f t="shared" si="3"/>
        <v/>
      </c>
      <c r="F65" s="675" t="str">
        <f t="shared" si="3"/>
        <v/>
      </c>
      <c r="G65" s="680" t="str">
        <f t="shared" si="3"/>
        <v/>
      </c>
      <c r="H65" s="677" t="str">
        <f t="shared" si="3"/>
        <v/>
      </c>
      <c r="K65" s="1019"/>
      <c r="L65" s="1020"/>
      <c r="M65" s="1020"/>
      <c r="N65" s="1020"/>
      <c r="O65" s="1021"/>
    </row>
    <row r="66" spans="1:15" x14ac:dyDescent="0.25">
      <c r="A66" s="973"/>
      <c r="C66" s="682" t="str">
        <f t="shared" si="3"/>
        <v/>
      </c>
      <c r="D66" s="676" t="str">
        <f t="shared" si="3"/>
        <v/>
      </c>
      <c r="E66" s="675" t="str">
        <f t="shared" si="3"/>
        <v/>
      </c>
      <c r="F66" s="675" t="str">
        <f t="shared" si="3"/>
        <v/>
      </c>
      <c r="G66" s="680" t="str">
        <f t="shared" si="3"/>
        <v/>
      </c>
      <c r="H66" s="677" t="str">
        <f t="shared" si="3"/>
        <v/>
      </c>
      <c r="K66" s="1022"/>
      <c r="L66" s="1023"/>
      <c r="M66" s="1023"/>
      <c r="N66" s="1023"/>
      <c r="O66" s="1024"/>
    </row>
    <row r="67" spans="1:15" x14ac:dyDescent="0.25">
      <c r="A67" s="973"/>
      <c r="C67" s="682" t="str">
        <f t="shared" si="3"/>
        <v/>
      </c>
      <c r="D67" s="676" t="str">
        <f t="shared" si="3"/>
        <v/>
      </c>
      <c r="E67" s="675" t="str">
        <f t="shared" si="3"/>
        <v/>
      </c>
      <c r="F67" s="675" t="str">
        <f t="shared" si="3"/>
        <v/>
      </c>
      <c r="G67" s="680" t="str">
        <f t="shared" si="3"/>
        <v/>
      </c>
      <c r="H67" s="677" t="str">
        <f t="shared" si="3"/>
        <v/>
      </c>
    </row>
    <row r="68" spans="1:15" x14ac:dyDescent="0.25">
      <c r="A68" s="973"/>
      <c r="C68" s="682" t="str">
        <f t="shared" si="3"/>
        <v/>
      </c>
      <c r="D68" s="676" t="str">
        <f t="shared" si="3"/>
        <v/>
      </c>
      <c r="E68" s="675" t="str">
        <f t="shared" si="3"/>
        <v/>
      </c>
      <c r="F68" s="675" t="str">
        <f t="shared" si="3"/>
        <v/>
      </c>
      <c r="G68" s="680" t="str">
        <f t="shared" si="3"/>
        <v/>
      </c>
      <c r="H68" s="677" t="str">
        <f t="shared" si="3"/>
        <v/>
      </c>
    </row>
    <row r="69" spans="1:15" x14ac:dyDescent="0.25">
      <c r="A69" s="973"/>
      <c r="C69" s="682" t="str">
        <f t="shared" si="3"/>
        <v/>
      </c>
      <c r="D69" s="676" t="str">
        <f t="shared" si="3"/>
        <v/>
      </c>
      <c r="E69" s="675" t="str">
        <f t="shared" si="3"/>
        <v/>
      </c>
      <c r="F69" s="675" t="str">
        <f t="shared" si="3"/>
        <v/>
      </c>
      <c r="G69" s="680" t="str">
        <f t="shared" si="3"/>
        <v/>
      </c>
      <c r="H69" s="677" t="str">
        <f t="shared" si="3"/>
        <v/>
      </c>
    </row>
    <row r="70" spans="1:15" x14ac:dyDescent="0.25">
      <c r="A70" s="973"/>
      <c r="C70" s="682" t="str">
        <f t="shared" si="3"/>
        <v/>
      </c>
      <c r="D70" s="676" t="str">
        <f t="shared" si="3"/>
        <v/>
      </c>
      <c r="E70" s="675" t="str">
        <f t="shared" si="3"/>
        <v/>
      </c>
      <c r="F70" s="675" t="str">
        <f t="shared" si="3"/>
        <v/>
      </c>
      <c r="G70" s="680" t="str">
        <f t="shared" si="3"/>
        <v/>
      </c>
      <c r="H70" s="677" t="str">
        <f t="shared" si="3"/>
        <v/>
      </c>
    </row>
    <row r="71" spans="1:15" x14ac:dyDescent="0.25">
      <c r="A71" s="973"/>
      <c r="C71" s="682" t="str">
        <f t="shared" si="3"/>
        <v/>
      </c>
      <c r="D71" s="676" t="str">
        <f t="shared" si="3"/>
        <v/>
      </c>
      <c r="E71" s="675" t="str">
        <f t="shared" si="3"/>
        <v/>
      </c>
      <c r="F71" s="675" t="str">
        <f t="shared" si="3"/>
        <v/>
      </c>
      <c r="G71" s="680" t="str">
        <f t="shared" si="3"/>
        <v/>
      </c>
      <c r="H71" s="677" t="str">
        <f t="shared" si="3"/>
        <v/>
      </c>
    </row>
    <row r="72" spans="1:15" x14ac:dyDescent="0.25">
      <c r="A72" s="973"/>
      <c r="C72" s="682" t="str">
        <f t="shared" si="3"/>
        <v/>
      </c>
      <c r="D72" s="676" t="str">
        <f t="shared" si="3"/>
        <v/>
      </c>
      <c r="E72" s="675" t="str">
        <f t="shared" si="3"/>
        <v/>
      </c>
      <c r="F72" s="675" t="str">
        <f t="shared" si="3"/>
        <v/>
      </c>
      <c r="G72" s="680" t="str">
        <f t="shared" si="3"/>
        <v/>
      </c>
      <c r="H72" s="677" t="str">
        <f t="shared" si="3"/>
        <v/>
      </c>
    </row>
    <row r="73" spans="1:15" x14ac:dyDescent="0.25">
      <c r="A73" s="973"/>
      <c r="C73" s="682" t="str">
        <f t="shared" si="3"/>
        <v/>
      </c>
      <c r="D73" s="676" t="str">
        <f t="shared" si="3"/>
        <v/>
      </c>
      <c r="E73" s="675" t="str">
        <f t="shared" si="3"/>
        <v/>
      </c>
      <c r="F73" s="675" t="str">
        <f t="shared" si="3"/>
        <v/>
      </c>
      <c r="G73" s="680" t="str">
        <f t="shared" si="3"/>
        <v/>
      </c>
      <c r="H73" s="677" t="str">
        <f t="shared" si="3"/>
        <v/>
      </c>
    </row>
    <row r="74" spans="1:15" x14ac:dyDescent="0.25">
      <c r="A74" s="973"/>
      <c r="C74" s="682" t="str">
        <f t="shared" si="3"/>
        <v/>
      </c>
      <c r="D74" s="676" t="str">
        <f t="shared" si="3"/>
        <v/>
      </c>
      <c r="E74" s="675" t="str">
        <f t="shared" si="3"/>
        <v/>
      </c>
      <c r="F74" s="675" t="str">
        <f t="shared" si="3"/>
        <v/>
      </c>
      <c r="G74" s="680" t="str">
        <f t="shared" si="3"/>
        <v/>
      </c>
      <c r="H74" s="677" t="str">
        <f t="shared" si="3"/>
        <v/>
      </c>
    </row>
    <row r="75" spans="1:15" x14ac:dyDescent="0.25">
      <c r="A75" s="973"/>
      <c r="C75" s="682" t="str">
        <f t="shared" si="3"/>
        <v/>
      </c>
      <c r="D75" s="676" t="str">
        <f t="shared" si="3"/>
        <v/>
      </c>
      <c r="E75" s="675" t="str">
        <f t="shared" si="3"/>
        <v/>
      </c>
      <c r="F75" s="675" t="str">
        <f t="shared" si="3"/>
        <v/>
      </c>
      <c r="G75" s="680" t="str">
        <f t="shared" si="3"/>
        <v/>
      </c>
      <c r="H75" s="677" t="str">
        <f t="shared" si="3"/>
        <v/>
      </c>
    </row>
    <row r="76" spans="1:15" x14ac:dyDescent="0.25">
      <c r="A76" s="973"/>
      <c r="B76" s="428"/>
      <c r="C76" s="682" t="str">
        <f t="shared" si="3"/>
        <v/>
      </c>
      <c r="D76" s="676" t="str">
        <f t="shared" si="3"/>
        <v/>
      </c>
      <c r="E76" s="675" t="str">
        <f t="shared" si="3"/>
        <v/>
      </c>
      <c r="F76" s="675" t="str">
        <f t="shared" si="3"/>
        <v/>
      </c>
      <c r="G76" s="680" t="str">
        <f t="shared" si="3"/>
        <v/>
      </c>
      <c r="H76" s="677" t="str">
        <f t="shared" si="3"/>
        <v/>
      </c>
    </row>
    <row r="77" spans="1:15" x14ac:dyDescent="0.25">
      <c r="A77" s="973"/>
      <c r="C77" s="682" t="str">
        <f t="shared" si="3"/>
        <v/>
      </c>
      <c r="D77" s="676" t="str">
        <f t="shared" si="3"/>
        <v/>
      </c>
      <c r="E77" s="675" t="str">
        <f t="shared" si="3"/>
        <v/>
      </c>
      <c r="F77" s="675" t="str">
        <f t="shared" si="3"/>
        <v/>
      </c>
      <c r="G77" s="680" t="str">
        <f t="shared" si="3"/>
        <v/>
      </c>
      <c r="H77" s="677" t="str">
        <f t="shared" si="3"/>
        <v/>
      </c>
    </row>
    <row r="78" spans="1:15" x14ac:dyDescent="0.25">
      <c r="A78" s="973"/>
      <c r="C78" s="682" t="str">
        <f t="shared" si="3"/>
        <v/>
      </c>
      <c r="D78" s="676" t="str">
        <f t="shared" si="3"/>
        <v/>
      </c>
      <c r="E78" s="675" t="str">
        <f t="shared" si="3"/>
        <v/>
      </c>
      <c r="F78" s="675" t="str">
        <f t="shared" si="3"/>
        <v/>
      </c>
      <c r="G78" s="680" t="str">
        <f t="shared" si="3"/>
        <v/>
      </c>
      <c r="H78" s="677" t="str">
        <f t="shared" si="3"/>
        <v/>
      </c>
    </row>
    <row r="79" spans="1:15" x14ac:dyDescent="0.25">
      <c r="A79" s="973"/>
      <c r="C79" s="682" t="str">
        <f t="shared" ref="C79:H81" si="4">IF(C39&lt;&gt;"",C39,"")</f>
        <v/>
      </c>
      <c r="D79" s="676" t="str">
        <f t="shared" si="4"/>
        <v/>
      </c>
      <c r="E79" s="675" t="str">
        <f t="shared" si="4"/>
        <v/>
      </c>
      <c r="F79" s="675" t="str">
        <f t="shared" si="4"/>
        <v/>
      </c>
      <c r="G79" s="680" t="str">
        <f t="shared" si="4"/>
        <v/>
      </c>
      <c r="H79" s="677" t="str">
        <f t="shared" si="4"/>
        <v/>
      </c>
    </row>
    <row r="80" spans="1:15" x14ac:dyDescent="0.25">
      <c r="A80" s="973"/>
      <c r="C80" s="682" t="str">
        <f t="shared" si="4"/>
        <v/>
      </c>
      <c r="D80" s="676" t="str">
        <f t="shared" si="4"/>
        <v/>
      </c>
      <c r="E80" s="675" t="str">
        <f t="shared" si="4"/>
        <v/>
      </c>
      <c r="F80" s="675" t="str">
        <f t="shared" si="4"/>
        <v/>
      </c>
      <c r="G80" s="680" t="str">
        <f t="shared" si="4"/>
        <v/>
      </c>
      <c r="H80" s="677" t="str">
        <f t="shared" si="4"/>
        <v/>
      </c>
    </row>
    <row r="81" spans="1:9" x14ac:dyDescent="0.25">
      <c r="A81" s="973"/>
      <c r="C81" s="682" t="str">
        <f t="shared" si="4"/>
        <v/>
      </c>
      <c r="D81" s="674" t="str">
        <f t="shared" si="4"/>
        <v/>
      </c>
      <c r="E81" s="675" t="str">
        <f t="shared" si="4"/>
        <v/>
      </c>
      <c r="F81" s="675" t="str">
        <f t="shared" si="4"/>
        <v/>
      </c>
      <c r="G81" s="680" t="str">
        <f t="shared" si="4"/>
        <v/>
      </c>
      <c r="H81" s="677" t="str">
        <f t="shared" si="4"/>
        <v/>
      </c>
    </row>
    <row r="82" spans="1:9" x14ac:dyDescent="0.25">
      <c r="A82" s="973"/>
      <c r="C82" s="683"/>
      <c r="D82" s="683"/>
      <c r="E82" s="683"/>
      <c r="F82" s="683"/>
      <c r="G82" s="1040" t="str">
        <f>IF(VSK&lt;&gt;0, SUM(H62:H81),"")</f>
        <v/>
      </c>
      <c r="H82" s="1040"/>
    </row>
    <row r="83" spans="1:9" x14ac:dyDescent="0.25">
      <c r="A83" s="973"/>
    </row>
    <row r="84" spans="1:9" x14ac:dyDescent="0.25">
      <c r="A84" s="973"/>
      <c r="B84" s="428"/>
      <c r="C84" s="425" t="str">
        <f>IF(AND(ZuAbschlag&lt;&gt;0,VSK&lt;&gt;0),"Zu-/Abschlag:","")</f>
        <v/>
      </c>
      <c r="E84" s="444" t="str">
        <f>IF(AND(ZuAbschlag&lt;&gt;0,VSK&lt;&gt;0),ZuAbschlag,"")</f>
        <v/>
      </c>
      <c r="F84" s="733" t="str">
        <f>IF(AND(ZuAbschlag&lt;&gt;0,VSK&lt;&gt;0),G82*E84,"")</f>
        <v/>
      </c>
      <c r="G84" s="426" t="str">
        <f>IF(AND(ZuAbschlag&lt;&gt;0,VSK&lt;&gt;0,F44&lt;&gt;""),F44,"")</f>
        <v/>
      </c>
    </row>
    <row r="85" spans="1:9" ht="15.75" x14ac:dyDescent="0.25">
      <c r="A85" s="973"/>
      <c r="C85" s="425" t="str">
        <f>IF(AND(NK&lt;&gt;0,VSK&lt;&gt;0),"Nebenkosten:","")</f>
        <v/>
      </c>
      <c r="F85" s="733" t="str">
        <f>IF(AND(NK&lt;&gt;0,VSK&lt;&gt;0),NK,"")</f>
        <v/>
      </c>
      <c r="G85" s="426" t="str">
        <f>IF(AND(NK&lt;&gt;0,VSK&lt;&gt;0,F45&lt;&gt;""),F45,"")</f>
        <v/>
      </c>
      <c r="I85" s="445"/>
    </row>
    <row r="86" spans="1:9" x14ac:dyDescent="0.25">
      <c r="A86" s="973"/>
    </row>
    <row r="87" spans="1:9" ht="15.75" x14ac:dyDescent="0.25">
      <c r="A87" s="973"/>
      <c r="C87" s="445" t="s">
        <v>71</v>
      </c>
      <c r="D87" s="445"/>
      <c r="E87" s="445"/>
      <c r="F87" s="445"/>
      <c r="G87" s="1041">
        <f>IF(VSK&gt;0,SUM(F85,F84,G82),0)</f>
        <v>0</v>
      </c>
      <c r="H87" s="1042"/>
    </row>
    <row r="88" spans="1:9" x14ac:dyDescent="0.25">
      <c r="A88" s="973"/>
    </row>
    <row r="89" spans="1:9" x14ac:dyDescent="0.25">
      <c r="A89" s="973"/>
    </row>
    <row r="90" spans="1:9" x14ac:dyDescent="0.25">
      <c r="A90" s="973"/>
    </row>
  </sheetData>
  <mergeCells count="14">
    <mergeCell ref="K62:O66"/>
    <mergeCell ref="G82:H82"/>
    <mergeCell ref="G87:H87"/>
    <mergeCell ref="F45:H45"/>
    <mergeCell ref="G47:H47"/>
    <mergeCell ref="A49:A90"/>
    <mergeCell ref="B50:I50"/>
    <mergeCell ref="B51:I51"/>
    <mergeCell ref="B52:I52"/>
    <mergeCell ref="B53:I53"/>
    <mergeCell ref="B55:I55"/>
    <mergeCell ref="F44:H44"/>
    <mergeCell ref="A1:A48"/>
    <mergeCell ref="C2:H2"/>
  </mergeCells>
  <dataValidations disablePrompts="1" count="3">
    <dataValidation type="list" showInputMessage="1" showErrorMessage="1" sqref="E22:E41">
      <formula1>$G$5:$G$18</formula1>
    </dataValidation>
    <dataValidation type="decimal" operator="greaterThan" showInputMessage="1" showErrorMessage="1" sqref="E44">
      <formula1>-1000</formula1>
    </dataValidation>
    <dataValidation type="decimal" operator="greaterThan" allowBlank="1" showInputMessage="1" showErrorMessage="1" sqref="E45">
      <formula1>-1000000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Normal="100" workbookViewId="0">
      <selection activeCell="C29" sqref="C29"/>
    </sheetView>
  </sheetViews>
  <sheetFormatPr baseColWidth="10" defaultRowHeight="15" x14ac:dyDescent="0.25"/>
  <cols>
    <col min="1" max="1" width="4" style="425" customWidth="1"/>
    <col min="2" max="2" width="4.7109375" style="425" customWidth="1"/>
    <col min="3" max="3" width="5.7109375" style="425" customWidth="1"/>
    <col min="4" max="4" width="35.7109375" style="425" customWidth="1"/>
    <col min="5" max="7" width="8.42578125" style="425" customWidth="1"/>
    <col min="8" max="8" width="11.42578125" style="425" customWidth="1"/>
    <col min="9" max="9" width="4.28515625" style="425" customWidth="1"/>
    <col min="10" max="16384" width="11.42578125" style="425"/>
  </cols>
  <sheetData>
    <row r="1" spans="1:21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CELL("ZEILE",B62)</f>
        <v>62</v>
      </c>
    </row>
    <row r="2" spans="1:21" ht="23.25" x14ac:dyDescent="0.25">
      <c r="A2" s="975"/>
      <c r="B2" s="475"/>
      <c r="C2" s="995" t="s">
        <v>801</v>
      </c>
      <c r="D2" s="996"/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CELL("ZEILE",G94)</f>
        <v>94</v>
      </c>
    </row>
    <row r="3" spans="1:21" ht="15.75" x14ac:dyDescent="0.25">
      <c r="A3" s="975"/>
      <c r="B3" s="516"/>
      <c r="C3" s="516"/>
      <c r="D3" s="516"/>
      <c r="E3" s="516"/>
      <c r="F3" s="516"/>
      <c r="G3" s="516"/>
      <c r="H3" s="516"/>
      <c r="I3" s="516"/>
      <c r="K3" s="268" t="s">
        <v>794</v>
      </c>
      <c r="L3" s="236"/>
      <c r="M3" s="236"/>
      <c r="N3" s="268">
        <f>E54</f>
        <v>0</v>
      </c>
    </row>
    <row r="4" spans="1:21" ht="16.5" thickBot="1" x14ac:dyDescent="0.3">
      <c r="A4" s="975"/>
      <c r="B4" s="516"/>
      <c r="C4" s="516" t="s">
        <v>669</v>
      </c>
      <c r="D4" s="516"/>
      <c r="E4" s="516"/>
      <c r="F4" s="516"/>
      <c r="G4" s="516" t="s">
        <v>668</v>
      </c>
      <c r="H4" s="516" t="s">
        <v>670</v>
      </c>
      <c r="I4" s="516"/>
    </row>
    <row r="5" spans="1:21" s="356" customFormat="1" ht="15" customHeight="1" thickBot="1" x14ac:dyDescent="0.25">
      <c r="A5" s="975"/>
      <c r="B5" s="366"/>
      <c r="C5" s="1036" t="s">
        <v>795</v>
      </c>
      <c r="D5" s="1036"/>
      <c r="E5" s="1036"/>
      <c r="F5" s="1036"/>
      <c r="G5" s="664" t="s">
        <v>802</v>
      </c>
      <c r="H5" s="666">
        <f>ROUND(Gesamt!$E$14*0.75,2)</f>
        <v>59.31</v>
      </c>
      <c r="I5" s="667"/>
    </row>
    <row r="6" spans="1:21" s="356" customFormat="1" ht="15" customHeight="1" thickBot="1" x14ac:dyDescent="0.25">
      <c r="A6" s="975"/>
      <c r="B6" s="366"/>
      <c r="C6" s="1037" t="s">
        <v>796</v>
      </c>
      <c r="D6" s="1038"/>
      <c r="E6" s="1038"/>
      <c r="F6" s="1039"/>
      <c r="G6" s="664" t="s">
        <v>803</v>
      </c>
      <c r="H6" s="666">
        <f>ROUND(Gesamt!$E$14*0.6,2)</f>
        <v>47.45</v>
      </c>
      <c r="I6" s="667"/>
    </row>
    <row r="7" spans="1:21" s="356" customFormat="1" ht="15" customHeight="1" thickBot="1" x14ac:dyDescent="0.25">
      <c r="A7" s="975"/>
      <c r="B7" s="366"/>
      <c r="C7" s="1037" t="s">
        <v>797</v>
      </c>
      <c r="D7" s="1038"/>
      <c r="E7" s="1038"/>
      <c r="F7" s="1039"/>
      <c r="G7" s="664" t="s">
        <v>804</v>
      </c>
      <c r="H7" s="666">
        <f>ROUND(Gesamt!$E$14*1,2)</f>
        <v>79.08</v>
      </c>
      <c r="I7" s="667"/>
    </row>
    <row r="8" spans="1:21" s="356" customFormat="1" ht="15" customHeight="1" thickBot="1" x14ac:dyDescent="0.25">
      <c r="A8" s="975"/>
      <c r="B8" s="366"/>
      <c r="C8" s="1037" t="s">
        <v>798</v>
      </c>
      <c r="D8" s="1038"/>
      <c r="E8" s="1038"/>
      <c r="F8" s="1039"/>
      <c r="G8" s="664" t="s">
        <v>805</v>
      </c>
      <c r="H8" s="666">
        <f>ROUND(Gesamt!$E$14*0.6,2)</f>
        <v>47.45</v>
      </c>
      <c r="I8" s="667"/>
    </row>
    <row r="9" spans="1:21" s="356" customFormat="1" ht="15" customHeight="1" thickBot="1" x14ac:dyDescent="0.25">
      <c r="A9" s="975"/>
      <c r="B9" s="366"/>
      <c r="C9" s="1037" t="s">
        <v>799</v>
      </c>
      <c r="D9" s="1038"/>
      <c r="E9" s="1038"/>
      <c r="F9" s="1039"/>
      <c r="G9" s="664" t="s">
        <v>806</v>
      </c>
      <c r="H9" s="666">
        <f>ROUND(Gesamt!$E$14*0.5,2)</f>
        <v>39.54</v>
      </c>
      <c r="I9" s="667"/>
    </row>
    <row r="10" spans="1:21" s="356" customFormat="1" ht="15" customHeight="1" thickBot="1" x14ac:dyDescent="0.25">
      <c r="A10" s="975"/>
      <c r="B10" s="366"/>
      <c r="C10" s="1037" t="s">
        <v>800</v>
      </c>
      <c r="D10" s="1038"/>
      <c r="E10" s="1038"/>
      <c r="F10" s="1039"/>
      <c r="G10" s="664" t="s">
        <v>807</v>
      </c>
      <c r="H10" s="666">
        <f>ROUND(Gesamt!$E$14*0.5,2)</f>
        <v>39.54</v>
      </c>
      <c r="I10" s="667"/>
    </row>
    <row r="11" spans="1:21" s="356" customFormat="1" ht="15" customHeight="1" thickBot="1" x14ac:dyDescent="0.25">
      <c r="A11" s="975"/>
      <c r="B11" s="366"/>
      <c r="C11" s="726"/>
      <c r="D11" s="727"/>
      <c r="E11" s="727"/>
      <c r="F11" s="728"/>
      <c r="G11" s="664"/>
      <c r="H11" s="666"/>
      <c r="I11" s="667"/>
    </row>
    <row r="12" spans="1:21" s="356" customFormat="1" ht="15" customHeight="1" thickBot="1" x14ac:dyDescent="0.25">
      <c r="A12" s="975"/>
      <c r="B12" s="366"/>
      <c r="C12" s="1176" t="str">
        <f>'6.2'!C5</f>
        <v>Messgehilfe</v>
      </c>
      <c r="D12" s="1177"/>
      <c r="E12" s="1177"/>
      <c r="F12" s="1178"/>
      <c r="G12" s="729" t="str">
        <f>'6.2'!G5</f>
        <v>Geh.</v>
      </c>
      <c r="H12" s="730">
        <f>'6.2'!H5</f>
        <v>39.54</v>
      </c>
      <c r="I12" s="667"/>
    </row>
    <row r="13" spans="1:21" s="356" customFormat="1" ht="15" customHeight="1" thickBot="1" x14ac:dyDescent="0.25">
      <c r="A13" s="975"/>
      <c r="B13" s="366"/>
      <c r="C13" s="1176" t="str">
        <f>'6.2'!C6</f>
        <v>Schreibkraft</v>
      </c>
      <c r="D13" s="1177"/>
      <c r="E13" s="1177"/>
      <c r="F13" s="1178"/>
      <c r="G13" s="729" t="str">
        <f>'6.2'!G6</f>
        <v>Sek.</v>
      </c>
      <c r="H13" s="730">
        <f>'6.2'!H6</f>
        <v>51.4</v>
      </c>
      <c r="I13" s="667"/>
      <c r="K13" s="668"/>
      <c r="M13" s="669"/>
    </row>
    <row r="14" spans="1:21" s="356" customFormat="1" ht="15" customHeight="1" thickBot="1" x14ac:dyDescent="0.25">
      <c r="A14" s="975"/>
      <c r="B14" s="366"/>
      <c r="C14" s="1176" t="str">
        <f>'6.2'!C7</f>
        <v>Techniker</v>
      </c>
      <c r="D14" s="1177"/>
      <c r="E14" s="1177"/>
      <c r="F14" s="1178"/>
      <c r="G14" s="729" t="str">
        <f>'6.2'!G7</f>
        <v>Tech.</v>
      </c>
      <c r="H14" s="730">
        <f>'6.2'!H7</f>
        <v>63.26</v>
      </c>
      <c r="I14" s="667"/>
      <c r="K14" s="668"/>
      <c r="M14" s="669"/>
      <c r="P14" s="668"/>
      <c r="Q14" s="668"/>
      <c r="R14" s="668"/>
      <c r="S14" s="668"/>
      <c r="T14" s="668"/>
      <c r="U14" s="668"/>
    </row>
    <row r="15" spans="1:21" s="356" customFormat="1" ht="15" customHeight="1" thickBot="1" x14ac:dyDescent="0.25">
      <c r="A15" s="975"/>
      <c r="B15" s="366"/>
      <c r="C15" s="1176" t="str">
        <f>'6.2'!C8</f>
        <v>CAD-Auswertestunde</v>
      </c>
      <c r="D15" s="1177"/>
      <c r="E15" s="1177"/>
      <c r="F15" s="1178"/>
      <c r="G15" s="729" t="str">
        <f>'6.2'!G8</f>
        <v>CAD</v>
      </c>
      <c r="H15" s="730">
        <f>'6.2'!H8</f>
        <v>75.260000000000005</v>
      </c>
      <c r="I15" s="667"/>
      <c r="K15" s="724"/>
      <c r="L15" s="725"/>
      <c r="M15" s="669"/>
      <c r="P15" s="668"/>
      <c r="Q15" s="668"/>
      <c r="R15" s="668"/>
      <c r="S15" s="668"/>
      <c r="T15" s="668"/>
      <c r="U15" s="668"/>
    </row>
    <row r="16" spans="1:21" s="356" customFormat="1" ht="15" customHeight="1" thickBot="1" x14ac:dyDescent="0.25">
      <c r="A16" s="975"/>
      <c r="B16" s="534"/>
      <c r="C16" s="1176" t="str">
        <f>'6.2'!C9</f>
        <v>Ingenieur</v>
      </c>
      <c r="D16" s="1177"/>
      <c r="E16" s="1177"/>
      <c r="F16" s="1178"/>
      <c r="G16" s="729" t="str">
        <f>'6.2'!G9</f>
        <v>Ing.</v>
      </c>
      <c r="H16" s="730">
        <f>'6.2'!H9</f>
        <v>79.08</v>
      </c>
      <c r="I16" s="534"/>
      <c r="K16" s="725"/>
      <c r="L16" s="725"/>
      <c r="M16" s="669"/>
      <c r="P16" s="668"/>
      <c r="Q16" s="668"/>
      <c r="R16" s="668"/>
      <c r="S16" s="668"/>
      <c r="T16" s="668"/>
      <c r="U16" s="668"/>
    </row>
    <row r="17" spans="1:21" s="356" customFormat="1" ht="15" customHeight="1" thickBot="1" x14ac:dyDescent="0.25">
      <c r="A17" s="975"/>
      <c r="B17" s="534"/>
      <c r="C17" s="1176" t="str">
        <f>'6.2'!C10</f>
        <v>qualifizierter Ingenieur (Klasse V)</v>
      </c>
      <c r="D17" s="1177"/>
      <c r="E17" s="1177"/>
      <c r="F17" s="1178"/>
      <c r="G17" s="729" t="str">
        <f>'6.2'!G10</f>
        <v>Ing. V</v>
      </c>
      <c r="H17" s="730">
        <f>'6.2'!H10</f>
        <v>90.94</v>
      </c>
      <c r="I17" s="534"/>
      <c r="K17" s="725"/>
      <c r="L17" s="725"/>
      <c r="M17" s="669"/>
      <c r="P17" s="668"/>
      <c r="Q17" s="668"/>
      <c r="R17" s="668"/>
      <c r="S17" s="668"/>
      <c r="T17" s="668"/>
      <c r="U17" s="668"/>
    </row>
    <row r="18" spans="1:21" s="356" customFormat="1" ht="15" customHeight="1" thickBot="1" x14ac:dyDescent="0.25">
      <c r="A18" s="975"/>
      <c r="B18" s="534"/>
      <c r="C18" s="1176" t="str">
        <f>'6.2'!C11</f>
        <v>qualifizierter Ingenieur (Klasse VI)</v>
      </c>
      <c r="D18" s="1177"/>
      <c r="E18" s="1177"/>
      <c r="F18" s="1178"/>
      <c r="G18" s="729" t="str">
        <f>'6.2'!G11</f>
        <v>Ing. VII</v>
      </c>
      <c r="H18" s="730">
        <f>'6.2'!H11</f>
        <v>98.85</v>
      </c>
      <c r="I18" s="534"/>
      <c r="K18" s="725"/>
      <c r="L18" s="725"/>
      <c r="M18" s="670"/>
      <c r="N18" s="668"/>
      <c r="O18" s="668"/>
      <c r="P18" s="668"/>
      <c r="Q18" s="668"/>
      <c r="R18" s="668"/>
      <c r="S18" s="668"/>
      <c r="T18" s="668"/>
      <c r="U18" s="668"/>
    </row>
    <row r="19" spans="1:21" s="356" customFormat="1" ht="15" customHeight="1" thickBot="1" x14ac:dyDescent="0.25">
      <c r="A19" s="975"/>
      <c r="B19" s="534"/>
      <c r="C19" s="1176" t="str">
        <f>'6.2'!C12</f>
        <v>qualifizierter Ingenieur (Klasse VII)</v>
      </c>
      <c r="D19" s="1177"/>
      <c r="E19" s="1177"/>
      <c r="F19" s="1178"/>
      <c r="G19" s="729" t="str">
        <f>'6.2'!G12</f>
        <v>Ing. VIII</v>
      </c>
      <c r="H19" s="730">
        <f>'6.2'!H12</f>
        <v>118.62</v>
      </c>
      <c r="I19" s="534"/>
      <c r="K19" s="725"/>
      <c r="L19" s="725"/>
      <c r="P19" s="668"/>
      <c r="Q19" s="668"/>
      <c r="R19" s="668"/>
      <c r="S19" s="668"/>
      <c r="T19" s="668"/>
      <c r="U19" s="668"/>
    </row>
    <row r="20" spans="1:21" s="356" customFormat="1" ht="15" customHeight="1" thickBot="1" x14ac:dyDescent="0.25">
      <c r="A20" s="975"/>
      <c r="B20" s="534"/>
      <c r="C20" s="1176" t="str">
        <f>'6.2'!C13</f>
        <v>Ziviltechnikerleistung</v>
      </c>
      <c r="D20" s="1177"/>
      <c r="E20" s="1177"/>
      <c r="F20" s="1178"/>
      <c r="G20" s="729" t="str">
        <f>'6.2'!G13</f>
        <v>ZT</v>
      </c>
      <c r="H20" s="730">
        <f>'6.2'!H13</f>
        <v>158.16</v>
      </c>
      <c r="I20" s="534"/>
      <c r="K20" s="725"/>
      <c r="L20" s="725"/>
      <c r="M20" s="671"/>
      <c r="N20" s="668"/>
      <c r="O20" s="668"/>
      <c r="P20" s="668"/>
      <c r="Q20" s="668"/>
      <c r="R20" s="668"/>
      <c r="S20" s="668"/>
      <c r="T20" s="668"/>
      <c r="U20" s="668"/>
    </row>
    <row r="21" spans="1:21" s="356" customFormat="1" ht="15" customHeight="1" thickBot="1" x14ac:dyDescent="0.25">
      <c r="A21" s="975"/>
      <c r="B21" s="534"/>
      <c r="C21" s="1176" t="str">
        <f>'6.2'!C14</f>
        <v>1-Mann-Partie inkl. Gerät</v>
      </c>
      <c r="D21" s="1177"/>
      <c r="E21" s="1177"/>
      <c r="F21" s="1178"/>
      <c r="G21" s="729" t="str">
        <f>'6.2'!G14</f>
        <v>1MP</v>
      </c>
      <c r="H21" s="730">
        <f>'6.2'!H14</f>
        <v>94.89</v>
      </c>
      <c r="I21" s="534"/>
      <c r="K21" s="725"/>
      <c r="L21" s="725"/>
      <c r="M21" s="671"/>
      <c r="N21" s="668"/>
      <c r="O21" s="668"/>
      <c r="P21" s="668"/>
      <c r="Q21" s="668"/>
      <c r="R21" s="668"/>
      <c r="S21" s="668"/>
      <c r="T21" s="668"/>
      <c r="U21" s="668"/>
    </row>
    <row r="22" spans="1:21" s="356" customFormat="1" ht="15" customHeight="1" thickBot="1" x14ac:dyDescent="0.25">
      <c r="A22" s="975"/>
      <c r="B22" s="534"/>
      <c r="C22" s="1176" t="str">
        <f>'6.2'!C15</f>
        <v>2-Mann-Partie inkl. Gerät</v>
      </c>
      <c r="D22" s="1177"/>
      <c r="E22" s="1177"/>
      <c r="F22" s="1178"/>
      <c r="G22" s="729" t="str">
        <f>'6.2'!G15</f>
        <v>2MP</v>
      </c>
      <c r="H22" s="730">
        <f>'6.2'!H15</f>
        <v>138.38999999999999</v>
      </c>
      <c r="I22" s="534"/>
      <c r="K22" s="725"/>
      <c r="L22" s="725"/>
      <c r="M22" s="671"/>
      <c r="N22" s="668"/>
      <c r="O22" s="668"/>
      <c r="P22" s="668"/>
      <c r="Q22" s="668"/>
      <c r="R22" s="668"/>
      <c r="S22" s="668"/>
      <c r="T22" s="668"/>
      <c r="U22" s="668"/>
    </row>
    <row r="23" spans="1:21" s="356" customFormat="1" ht="15" customHeight="1" thickBot="1" x14ac:dyDescent="0.25">
      <c r="A23" s="975"/>
      <c r="B23" s="534"/>
      <c r="C23" s="1176" t="str">
        <f>'6.2'!C16</f>
        <v>Einsatzpauschale (20km An/Abfahrt)</v>
      </c>
      <c r="D23" s="1177"/>
      <c r="E23" s="1177"/>
      <c r="F23" s="1178"/>
      <c r="G23" s="729" t="str">
        <f>'6.2'!G16</f>
        <v>Einsatz</v>
      </c>
      <c r="H23" s="730">
        <f>'6.2'!H16</f>
        <v>148.79</v>
      </c>
      <c r="I23" s="534"/>
      <c r="K23" s="725"/>
      <c r="L23" s="725"/>
      <c r="M23" s="671"/>
      <c r="N23" s="668"/>
      <c r="O23" s="668"/>
      <c r="P23" s="668"/>
      <c r="Q23" s="668"/>
      <c r="R23" s="668"/>
      <c r="S23" s="668"/>
      <c r="T23" s="668"/>
      <c r="U23" s="668"/>
    </row>
    <row r="24" spans="1:21" s="356" customFormat="1" ht="15" customHeight="1" thickBot="1" x14ac:dyDescent="0.25">
      <c r="A24" s="975"/>
      <c r="B24" s="534"/>
      <c r="C24" s="1176" t="str">
        <f>'6.2'!C17</f>
        <v>Instrument (Messgerät) oder CAD-Ausrüstung</v>
      </c>
      <c r="D24" s="947"/>
      <c r="E24" s="947"/>
      <c r="F24" s="948"/>
      <c r="G24" s="729" t="str">
        <f>'6.2'!G17</f>
        <v>Instr/CAD</v>
      </c>
      <c r="H24" s="730">
        <f>'6.2'!H17</f>
        <v>11.86</v>
      </c>
      <c r="I24" s="534"/>
      <c r="K24" s="725"/>
      <c r="L24" s="725"/>
      <c r="M24" s="671"/>
      <c r="N24" s="668"/>
      <c r="O24" s="668"/>
      <c r="P24" s="668"/>
      <c r="Q24" s="668"/>
      <c r="R24" s="668"/>
      <c r="S24" s="668"/>
      <c r="T24" s="668"/>
      <c r="U24" s="668"/>
    </row>
    <row r="25" spans="1:21" s="356" customFormat="1" ht="15" customHeight="1" thickBot="1" x14ac:dyDescent="0.25">
      <c r="A25" s="975"/>
      <c r="B25" s="534"/>
      <c r="C25" s="1037"/>
      <c r="D25" s="1038"/>
      <c r="E25" s="1038"/>
      <c r="F25" s="1039"/>
      <c r="G25" s="664"/>
      <c r="H25" s="666"/>
      <c r="I25" s="534"/>
      <c r="K25" s="725"/>
      <c r="L25" s="725"/>
      <c r="M25" s="671"/>
      <c r="N25" s="668"/>
      <c r="O25" s="668"/>
      <c r="P25" s="668"/>
      <c r="Q25" s="668"/>
      <c r="R25" s="668"/>
      <c r="S25" s="668"/>
      <c r="T25" s="668"/>
      <c r="U25" s="668"/>
    </row>
    <row r="26" spans="1:21" s="356" customFormat="1" ht="15" customHeight="1" x14ac:dyDescent="0.2">
      <c r="A26" s="975"/>
      <c r="B26" s="534"/>
      <c r="C26" s="534"/>
      <c r="D26" s="534"/>
      <c r="E26" s="534"/>
      <c r="F26" s="534"/>
      <c r="G26" s="534"/>
      <c r="H26" s="534"/>
      <c r="I26" s="534"/>
      <c r="K26" s="725"/>
      <c r="L26" s="725"/>
      <c r="M26" s="671"/>
      <c r="N26" s="668"/>
      <c r="O26" s="668"/>
      <c r="P26" s="668"/>
      <c r="Q26" s="668"/>
      <c r="R26" s="668"/>
      <c r="S26" s="668"/>
      <c r="T26" s="668"/>
      <c r="U26" s="668"/>
    </row>
    <row r="27" spans="1:21" s="356" customFormat="1" ht="15" customHeight="1" x14ac:dyDescent="0.2">
      <c r="A27" s="975"/>
      <c r="B27" s="534"/>
      <c r="C27" s="534"/>
      <c r="D27" s="534"/>
      <c r="E27" s="534"/>
      <c r="F27" s="534"/>
      <c r="G27" s="534"/>
      <c r="H27" s="534"/>
      <c r="I27" s="534"/>
      <c r="K27" s="725"/>
      <c r="L27" s="725"/>
      <c r="M27" s="671"/>
      <c r="N27" s="668"/>
      <c r="O27" s="668"/>
      <c r="P27" s="668"/>
      <c r="Q27" s="668"/>
      <c r="R27" s="668"/>
      <c r="S27" s="668"/>
      <c r="T27" s="668"/>
      <c r="U27" s="668"/>
    </row>
    <row r="28" spans="1:21" s="356" customFormat="1" ht="15" customHeight="1" thickBot="1" x14ac:dyDescent="0.25">
      <c r="A28" s="975"/>
      <c r="B28" s="534"/>
      <c r="C28" s="534" t="s">
        <v>690</v>
      </c>
      <c r="D28" s="534" t="s">
        <v>691</v>
      </c>
      <c r="E28" s="672" t="s">
        <v>689</v>
      </c>
      <c r="F28" s="672" t="s">
        <v>694</v>
      </c>
      <c r="G28" s="672" t="s">
        <v>670</v>
      </c>
      <c r="H28" s="672" t="s">
        <v>688</v>
      </c>
      <c r="I28" s="534"/>
      <c r="K28" s="725"/>
      <c r="L28" s="725"/>
      <c r="M28" s="671"/>
      <c r="N28" s="668"/>
      <c r="O28" s="668"/>
      <c r="P28" s="668"/>
    </row>
    <row r="29" spans="1:21" ht="16.5" thickBot="1" x14ac:dyDescent="0.3">
      <c r="A29" s="975"/>
      <c r="B29" s="92"/>
      <c r="C29" s="718"/>
      <c r="D29" s="685"/>
      <c r="E29" s="665"/>
      <c r="F29" s="665"/>
      <c r="G29" s="684" t="str">
        <f t="shared" ref="G29:G48" si="0">IF(E29&lt;&gt;"",VLOOKUP(E29,G$5:H$25,2,FALSE),"")</f>
        <v/>
      </c>
      <c r="H29" s="684" t="str">
        <f t="shared" ref="H29:H48" si="1">IF(AND(E29&lt;&gt;"",F29&lt;&gt;"",F29&gt;0),F29*G29,"")</f>
        <v/>
      </c>
      <c r="I29" s="93"/>
      <c r="K29" s="710"/>
      <c r="L29" s="710"/>
      <c r="M29" s="518"/>
      <c r="N29" s="513"/>
      <c r="O29" s="513"/>
      <c r="P29" s="513"/>
    </row>
    <row r="30" spans="1:21" ht="16.5" thickBot="1" x14ac:dyDescent="0.3">
      <c r="A30" s="975"/>
      <c r="B30" s="516"/>
      <c r="C30" s="718"/>
      <c r="D30" s="685"/>
      <c r="E30" s="665"/>
      <c r="F30" s="665"/>
      <c r="G30" s="684" t="str">
        <f t="shared" si="0"/>
        <v/>
      </c>
      <c r="H30" s="684" t="str">
        <f t="shared" si="1"/>
        <v/>
      </c>
      <c r="I30" s="516"/>
      <c r="K30" s="710"/>
      <c r="L30" s="710"/>
      <c r="M30" s="518"/>
      <c r="N30" s="513"/>
      <c r="O30" s="513"/>
      <c r="P30" s="513"/>
    </row>
    <row r="31" spans="1:21" ht="16.5" thickBot="1" x14ac:dyDescent="0.3">
      <c r="A31" s="975"/>
      <c r="B31" s="516"/>
      <c r="C31" s="718"/>
      <c r="D31" s="685"/>
      <c r="E31" s="665"/>
      <c r="F31" s="665"/>
      <c r="G31" s="684" t="str">
        <f t="shared" si="0"/>
        <v/>
      </c>
      <c r="H31" s="684" t="str">
        <f t="shared" si="1"/>
        <v/>
      </c>
      <c r="I31" s="516"/>
      <c r="K31" s="710"/>
      <c r="L31" s="710"/>
      <c r="M31" s="518"/>
      <c r="N31" s="513"/>
      <c r="O31" s="513"/>
      <c r="P31" s="513"/>
    </row>
    <row r="32" spans="1:21" ht="16.5" thickBot="1" x14ac:dyDescent="0.3">
      <c r="A32" s="975"/>
      <c r="B32" s="516"/>
      <c r="C32" s="718"/>
      <c r="D32" s="685"/>
      <c r="E32" s="665"/>
      <c r="F32" s="665"/>
      <c r="G32" s="684" t="str">
        <f t="shared" si="0"/>
        <v/>
      </c>
      <c r="H32" s="684" t="str">
        <f t="shared" si="1"/>
        <v/>
      </c>
      <c r="I32" s="516"/>
      <c r="K32" s="710"/>
      <c r="L32" s="710"/>
      <c r="M32" s="518"/>
      <c r="N32" s="513"/>
      <c r="O32" s="513"/>
      <c r="P32" s="513"/>
    </row>
    <row r="33" spans="1:16" ht="16.5" thickBot="1" x14ac:dyDescent="0.3">
      <c r="A33" s="975"/>
      <c r="B33" s="516"/>
      <c r="C33" s="718"/>
      <c r="D33" s="685"/>
      <c r="E33" s="665"/>
      <c r="F33" s="665"/>
      <c r="G33" s="684" t="str">
        <f t="shared" si="0"/>
        <v/>
      </c>
      <c r="H33" s="684" t="str">
        <f t="shared" si="1"/>
        <v/>
      </c>
      <c r="I33" s="516"/>
      <c r="K33" s="710"/>
      <c r="L33" s="710"/>
      <c r="M33" s="518"/>
      <c r="N33" s="513"/>
      <c r="O33" s="513"/>
      <c r="P33" s="513"/>
    </row>
    <row r="34" spans="1:16" ht="16.5" thickBot="1" x14ac:dyDescent="0.3">
      <c r="A34" s="975"/>
      <c r="B34" s="516"/>
      <c r="C34" s="718"/>
      <c r="D34" s="685"/>
      <c r="E34" s="665"/>
      <c r="F34" s="665"/>
      <c r="G34" s="684" t="str">
        <f t="shared" si="0"/>
        <v/>
      </c>
      <c r="H34" s="684" t="str">
        <f t="shared" si="1"/>
        <v/>
      </c>
      <c r="I34" s="516"/>
      <c r="K34" s="710"/>
      <c r="L34" s="710"/>
      <c r="M34" s="518"/>
      <c r="N34" s="513"/>
      <c r="O34" s="513"/>
      <c r="P34" s="513"/>
    </row>
    <row r="35" spans="1:16" ht="16.5" thickBot="1" x14ac:dyDescent="0.3">
      <c r="A35" s="975"/>
      <c r="B35" s="516"/>
      <c r="C35" s="718"/>
      <c r="D35" s="685"/>
      <c r="E35" s="665"/>
      <c r="F35" s="665"/>
      <c r="G35" s="684" t="str">
        <f t="shared" si="0"/>
        <v/>
      </c>
      <c r="H35" s="684" t="str">
        <f t="shared" si="1"/>
        <v/>
      </c>
      <c r="I35" s="516"/>
      <c r="K35" s="710"/>
      <c r="L35" s="710"/>
      <c r="M35" s="518"/>
      <c r="N35" s="513"/>
      <c r="O35" s="513"/>
      <c r="P35" s="513"/>
    </row>
    <row r="36" spans="1:16" ht="16.5" thickBot="1" x14ac:dyDescent="0.3">
      <c r="A36" s="975"/>
      <c r="B36" s="516"/>
      <c r="C36" s="718"/>
      <c r="D36" s="685"/>
      <c r="E36" s="665"/>
      <c r="F36" s="665"/>
      <c r="G36" s="684" t="str">
        <f t="shared" si="0"/>
        <v/>
      </c>
      <c r="H36" s="684" t="str">
        <f t="shared" si="1"/>
        <v/>
      </c>
      <c r="I36" s="516"/>
      <c r="K36" s="710"/>
      <c r="L36" s="710"/>
      <c r="M36" s="518"/>
      <c r="N36" s="513"/>
      <c r="O36" s="513"/>
      <c r="P36" s="513"/>
    </row>
    <row r="37" spans="1:16" ht="16.5" thickBot="1" x14ac:dyDescent="0.3">
      <c r="A37" s="975"/>
      <c r="B37" s="516"/>
      <c r="C37" s="718"/>
      <c r="D37" s="685"/>
      <c r="E37" s="665"/>
      <c r="F37" s="665"/>
      <c r="G37" s="684" t="str">
        <f t="shared" si="0"/>
        <v/>
      </c>
      <c r="H37" s="684" t="str">
        <f t="shared" si="1"/>
        <v/>
      </c>
      <c r="I37" s="516"/>
      <c r="K37" s="710"/>
      <c r="L37" s="710"/>
      <c r="M37" s="518"/>
      <c r="N37" s="513"/>
      <c r="O37" s="513"/>
      <c r="P37" s="513"/>
    </row>
    <row r="38" spans="1:16" ht="16.5" thickBot="1" x14ac:dyDescent="0.3">
      <c r="A38" s="975"/>
      <c r="B38" s="516"/>
      <c r="C38" s="718"/>
      <c r="D38" s="685"/>
      <c r="E38" s="665"/>
      <c r="F38" s="665"/>
      <c r="G38" s="684" t="str">
        <f t="shared" si="0"/>
        <v/>
      </c>
      <c r="H38" s="684" t="str">
        <f t="shared" si="1"/>
        <v/>
      </c>
      <c r="I38" s="516"/>
      <c r="K38" s="513"/>
      <c r="L38" s="513"/>
      <c r="M38" s="518"/>
      <c r="N38" s="513"/>
      <c r="O38" s="513"/>
      <c r="P38" s="513"/>
    </row>
    <row r="39" spans="1:16" ht="16.5" thickBot="1" x14ac:dyDescent="0.3">
      <c r="A39" s="975"/>
      <c r="B39" s="516"/>
      <c r="C39" s="718"/>
      <c r="D39" s="685"/>
      <c r="E39" s="665"/>
      <c r="F39" s="665"/>
      <c r="G39" s="684" t="str">
        <f t="shared" si="0"/>
        <v/>
      </c>
      <c r="H39" s="684" t="str">
        <f t="shared" si="1"/>
        <v/>
      </c>
      <c r="I39" s="516"/>
      <c r="K39" s="513"/>
      <c r="L39" s="513"/>
      <c r="M39" s="518"/>
      <c r="N39" s="513"/>
      <c r="O39" s="513"/>
      <c r="P39" s="513"/>
    </row>
    <row r="40" spans="1:16" ht="16.5" thickBot="1" x14ac:dyDescent="0.3">
      <c r="A40" s="975"/>
      <c r="B40" s="516"/>
      <c r="C40" s="718"/>
      <c r="D40" s="685"/>
      <c r="E40" s="665"/>
      <c r="F40" s="665"/>
      <c r="G40" s="684" t="str">
        <f t="shared" si="0"/>
        <v/>
      </c>
      <c r="H40" s="684" t="str">
        <f t="shared" si="1"/>
        <v/>
      </c>
      <c r="I40" s="516"/>
      <c r="K40" s="513"/>
      <c r="L40" s="513"/>
      <c r="M40" s="518"/>
      <c r="N40" s="513"/>
      <c r="O40" s="513"/>
      <c r="P40" s="513"/>
    </row>
    <row r="41" spans="1:16" ht="16.5" thickBot="1" x14ac:dyDescent="0.3">
      <c r="A41" s="975"/>
      <c r="B41" s="516"/>
      <c r="C41" s="718"/>
      <c r="D41" s="685"/>
      <c r="E41" s="665"/>
      <c r="F41" s="665"/>
      <c r="G41" s="684" t="str">
        <f t="shared" si="0"/>
        <v/>
      </c>
      <c r="H41" s="684" t="str">
        <f t="shared" si="1"/>
        <v/>
      </c>
      <c r="I41" s="516"/>
      <c r="K41" s="513"/>
      <c r="L41" s="513"/>
      <c r="M41" s="518"/>
      <c r="N41" s="513"/>
      <c r="O41" s="513"/>
      <c r="P41" s="513"/>
    </row>
    <row r="42" spans="1:16" ht="16.5" thickBot="1" x14ac:dyDescent="0.3">
      <c r="A42" s="975"/>
      <c r="B42" s="516"/>
      <c r="C42" s="718"/>
      <c r="D42" s="685"/>
      <c r="E42" s="665"/>
      <c r="F42" s="665"/>
      <c r="G42" s="684" t="str">
        <f t="shared" si="0"/>
        <v/>
      </c>
      <c r="H42" s="684" t="str">
        <f t="shared" si="1"/>
        <v/>
      </c>
      <c r="I42" s="516"/>
      <c r="K42" s="513"/>
      <c r="L42" s="513"/>
      <c r="M42" s="518"/>
      <c r="N42" s="513"/>
      <c r="O42" s="513"/>
      <c r="P42" s="513"/>
    </row>
    <row r="43" spans="1:16" ht="16.5" thickBot="1" x14ac:dyDescent="0.3">
      <c r="A43" s="975"/>
      <c r="B43" s="516"/>
      <c r="C43" s="718"/>
      <c r="D43" s="685"/>
      <c r="E43" s="665"/>
      <c r="F43" s="665"/>
      <c r="G43" s="684" t="str">
        <f t="shared" si="0"/>
        <v/>
      </c>
      <c r="H43" s="684" t="str">
        <f t="shared" si="1"/>
        <v/>
      </c>
      <c r="I43" s="516"/>
      <c r="K43" s="513"/>
      <c r="L43" s="513"/>
      <c r="M43" s="518"/>
      <c r="N43" s="513"/>
      <c r="O43" s="513"/>
      <c r="P43" s="513"/>
    </row>
    <row r="44" spans="1:16" ht="16.5" thickBot="1" x14ac:dyDescent="0.3">
      <c r="A44" s="975"/>
      <c r="B44" s="516"/>
      <c r="C44" s="718"/>
      <c r="D44" s="685"/>
      <c r="E44" s="665"/>
      <c r="F44" s="665"/>
      <c r="G44" s="684" t="str">
        <f t="shared" si="0"/>
        <v/>
      </c>
      <c r="H44" s="684" t="str">
        <f t="shared" si="1"/>
        <v/>
      </c>
      <c r="I44" s="516"/>
      <c r="K44" s="513"/>
      <c r="L44" s="513"/>
      <c r="M44" s="518"/>
      <c r="N44" s="513"/>
      <c r="O44" s="513"/>
      <c r="P44" s="513"/>
    </row>
    <row r="45" spans="1:16" ht="16.5" thickBot="1" x14ac:dyDescent="0.3">
      <c r="A45" s="975"/>
      <c r="B45" s="516"/>
      <c r="C45" s="718"/>
      <c r="D45" s="685"/>
      <c r="E45" s="665"/>
      <c r="F45" s="665"/>
      <c r="G45" s="684" t="str">
        <f t="shared" si="0"/>
        <v/>
      </c>
      <c r="H45" s="684" t="str">
        <f t="shared" si="1"/>
        <v/>
      </c>
      <c r="I45" s="516"/>
      <c r="K45" s="513"/>
      <c r="L45" s="513"/>
      <c r="M45" s="518"/>
      <c r="N45" s="513"/>
      <c r="O45" s="513"/>
      <c r="P45" s="513"/>
    </row>
    <row r="46" spans="1:16" ht="16.5" thickBot="1" x14ac:dyDescent="0.3">
      <c r="A46" s="975"/>
      <c r="B46" s="516"/>
      <c r="C46" s="718"/>
      <c r="D46" s="685"/>
      <c r="E46" s="665"/>
      <c r="F46" s="665"/>
      <c r="G46" s="684" t="str">
        <f t="shared" si="0"/>
        <v/>
      </c>
      <c r="H46" s="684" t="str">
        <f t="shared" si="1"/>
        <v/>
      </c>
      <c r="I46" s="516"/>
      <c r="K46" s="513"/>
      <c r="L46" s="513"/>
      <c r="M46" s="518"/>
      <c r="N46" s="513"/>
      <c r="O46" s="513"/>
      <c r="P46" s="513"/>
    </row>
    <row r="47" spans="1:16" ht="16.5" thickBot="1" x14ac:dyDescent="0.3">
      <c r="A47" s="975"/>
      <c r="B47" s="516"/>
      <c r="C47" s="718"/>
      <c r="D47" s="685"/>
      <c r="E47" s="665"/>
      <c r="F47" s="665"/>
      <c r="G47" s="684" t="str">
        <f t="shared" si="0"/>
        <v/>
      </c>
      <c r="H47" s="684" t="str">
        <f t="shared" si="1"/>
        <v/>
      </c>
      <c r="I47" s="516"/>
      <c r="K47" s="513"/>
      <c r="L47" s="513"/>
      <c r="M47" s="518"/>
      <c r="N47" s="513"/>
      <c r="O47" s="513"/>
      <c r="P47" s="513"/>
    </row>
    <row r="48" spans="1:16" ht="16.5" thickBot="1" x14ac:dyDescent="0.3">
      <c r="A48" s="975"/>
      <c r="B48" s="516"/>
      <c r="C48" s="718"/>
      <c r="D48" s="685"/>
      <c r="E48" s="665"/>
      <c r="F48" s="665"/>
      <c r="G48" s="684" t="str">
        <f t="shared" si="0"/>
        <v/>
      </c>
      <c r="H48" s="684" t="str">
        <f t="shared" si="1"/>
        <v/>
      </c>
      <c r="I48" s="516"/>
      <c r="K48" s="513"/>
      <c r="L48" s="513"/>
      <c r="M48" s="518"/>
      <c r="N48" s="513"/>
      <c r="O48" s="513"/>
      <c r="P48" s="513"/>
    </row>
    <row r="49" spans="1:16" ht="16.5" thickBot="1" x14ac:dyDescent="0.3">
      <c r="A49" s="975"/>
      <c r="B49" s="516"/>
      <c r="C49" s="516"/>
      <c r="D49" s="516"/>
      <c r="E49" s="516"/>
      <c r="F49" s="516"/>
      <c r="G49" s="516"/>
      <c r="H49" s="686" t="str">
        <f>IF(VSK&lt;&gt;0, SUM(H29:H48),"")</f>
        <v/>
      </c>
      <c r="I49" s="516"/>
      <c r="K49" s="513"/>
      <c r="L49" s="513"/>
      <c r="M49" s="518"/>
      <c r="N49" s="513"/>
      <c r="O49" s="513"/>
      <c r="P49" s="513"/>
    </row>
    <row r="50" spans="1:16" ht="15.75" x14ac:dyDescent="0.25">
      <c r="A50" s="975"/>
      <c r="B50" s="475"/>
      <c r="C50" s="486"/>
      <c r="D50" s="487"/>
      <c r="E50" s="486"/>
      <c r="F50" s="488"/>
      <c r="G50" s="486"/>
      <c r="H50" s="488"/>
      <c r="I50" s="476"/>
      <c r="K50" s="513"/>
      <c r="L50" s="513"/>
      <c r="M50" s="518"/>
      <c r="N50" s="513"/>
      <c r="O50" s="513"/>
      <c r="P50" s="513"/>
    </row>
    <row r="51" spans="1:16" ht="15.75" x14ac:dyDescent="0.25">
      <c r="A51" s="975"/>
      <c r="B51" s="475"/>
      <c r="C51" s="476" t="s">
        <v>34</v>
      </c>
      <c r="D51" s="476"/>
      <c r="E51" s="489"/>
      <c r="F51" s="1030"/>
      <c r="G51" s="1031"/>
      <c r="H51" s="1032"/>
      <c r="I51" s="476"/>
      <c r="K51" s="513"/>
      <c r="L51" s="513"/>
      <c r="M51" s="513"/>
      <c r="N51" s="513"/>
      <c r="O51" s="513"/>
      <c r="P51" s="513"/>
    </row>
    <row r="52" spans="1:16" ht="15.75" x14ac:dyDescent="0.25">
      <c r="A52" s="975"/>
      <c r="B52" s="475"/>
      <c r="C52" s="476" t="s">
        <v>826</v>
      </c>
      <c r="D52" s="476"/>
      <c r="E52" s="732"/>
      <c r="F52" s="1000"/>
      <c r="G52" s="1043"/>
      <c r="H52" s="1001"/>
      <c r="I52" s="476"/>
    </row>
    <row r="53" spans="1:16" ht="15.75" x14ac:dyDescent="0.25">
      <c r="A53" s="975"/>
      <c r="B53" s="475"/>
      <c r="C53" s="476"/>
      <c r="D53" s="476"/>
      <c r="E53" s="491"/>
      <c r="F53" s="476"/>
      <c r="G53" s="475"/>
      <c r="H53" s="475"/>
      <c r="I53" s="474"/>
    </row>
    <row r="54" spans="1:16" ht="21" x14ac:dyDescent="0.35">
      <c r="A54" s="975"/>
      <c r="B54" s="474"/>
      <c r="C54" s="492" t="str">
        <f>IF(VSK=0, "UNVOLLSTÄNDIG AUSGEFÜLLT!","")</f>
        <v>UNVOLLSTÄNDIG AUSGEFÜLLT!</v>
      </c>
      <c r="D54" s="474"/>
      <c r="E54" s="673">
        <f>IF(SUM(H29:H48)&gt;0,1,0)</f>
        <v>0</v>
      </c>
      <c r="F54" s="474"/>
      <c r="G54" s="999" t="str">
        <f>IF(VSK&lt;&gt;0, G94,"")</f>
        <v/>
      </c>
      <c r="H54" s="999"/>
      <c r="I54" s="474"/>
      <c r="P54" s="513"/>
    </row>
    <row r="55" spans="1:16" ht="15.75" x14ac:dyDescent="0.25">
      <c r="A55" s="975"/>
      <c r="B55" s="474"/>
      <c r="C55" s="474"/>
      <c r="D55" s="474"/>
      <c r="E55" s="474"/>
      <c r="F55" s="474"/>
      <c r="G55" s="474"/>
      <c r="H55" s="474"/>
      <c r="I55" s="474"/>
    </row>
    <row r="56" spans="1:16" ht="15" customHeight="1" x14ac:dyDescent="0.25">
      <c r="A56" s="973" t="s">
        <v>72</v>
      </c>
    </row>
    <row r="57" spans="1:16" x14ac:dyDescent="0.25">
      <c r="A57" s="973"/>
      <c r="B57" s="974" t="str">
        <f>CONCATENATE(Gesamt!C2, ": ", Gesamt!E2)</f>
        <v xml:space="preserve">Projekt: </v>
      </c>
      <c r="C57" s="974"/>
      <c r="D57" s="974"/>
      <c r="E57" s="974"/>
      <c r="F57" s="974"/>
      <c r="G57" s="974"/>
      <c r="H57" s="974"/>
      <c r="I57" s="974"/>
    </row>
    <row r="58" spans="1:16" x14ac:dyDescent="0.25">
      <c r="A58" s="973"/>
      <c r="B58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58" s="969"/>
      <c r="D58" s="969"/>
      <c r="E58" s="969"/>
      <c r="F58" s="969"/>
      <c r="G58" s="969"/>
      <c r="H58" s="969"/>
      <c r="I58" s="969"/>
    </row>
    <row r="59" spans="1:16" x14ac:dyDescent="0.25">
      <c r="A59" s="973"/>
      <c r="B59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59" s="969"/>
      <c r="D59" s="969"/>
      <c r="E59" s="969"/>
      <c r="F59" s="969"/>
      <c r="G59" s="969"/>
      <c r="H59" s="969"/>
      <c r="I59" s="969"/>
    </row>
    <row r="60" spans="1:16" x14ac:dyDescent="0.25">
      <c r="A60" s="973"/>
      <c r="B60" s="969" t="s">
        <v>42</v>
      </c>
      <c r="C60" s="969"/>
      <c r="D60" s="969"/>
      <c r="E60" s="969"/>
      <c r="F60" s="969"/>
      <c r="G60" s="969"/>
      <c r="H60" s="969"/>
      <c r="I60" s="969"/>
    </row>
    <row r="61" spans="1:16" x14ac:dyDescent="0.25">
      <c r="A61" s="973"/>
    </row>
    <row r="62" spans="1:16" ht="18.75" x14ac:dyDescent="0.25">
      <c r="A62" s="973"/>
      <c r="B62" s="968" t="str">
        <f>C2</f>
        <v>KANZLEIHONORARE</v>
      </c>
      <c r="C62" s="968"/>
      <c r="D62" s="968"/>
      <c r="E62" s="968"/>
      <c r="F62" s="968"/>
      <c r="G62" s="968"/>
      <c r="H62" s="968"/>
      <c r="I62" s="968"/>
    </row>
    <row r="63" spans="1:16" x14ac:dyDescent="0.25">
      <c r="A63" s="973"/>
    </row>
    <row r="64" spans="1:16" x14ac:dyDescent="0.25">
      <c r="A64" s="973"/>
      <c r="C64" s="425" t="s">
        <v>808</v>
      </c>
    </row>
    <row r="65" spans="1:15" x14ac:dyDescent="0.25">
      <c r="A65" s="973"/>
    </row>
    <row r="66" spans="1:15" x14ac:dyDescent="0.25">
      <c r="A66" s="973"/>
      <c r="C66" s="425" t="s">
        <v>46</v>
      </c>
      <c r="E66" s="367">
        <f>Gesamt!E14</f>
        <v>79.08</v>
      </c>
    </row>
    <row r="67" spans="1:15" x14ac:dyDescent="0.25">
      <c r="A67" s="973"/>
      <c r="C67" s="444"/>
    </row>
    <row r="68" spans="1:15" x14ac:dyDescent="0.25">
      <c r="A68" s="973"/>
      <c r="C68" s="678" t="s">
        <v>690</v>
      </c>
      <c r="D68" s="678" t="s">
        <v>691</v>
      </c>
      <c r="E68" s="679" t="s">
        <v>689</v>
      </c>
      <c r="F68" s="679" t="s">
        <v>694</v>
      </c>
      <c r="G68" s="679" t="s">
        <v>670</v>
      </c>
      <c r="H68" s="679" t="s">
        <v>688</v>
      </c>
    </row>
    <row r="69" spans="1:15" x14ac:dyDescent="0.25">
      <c r="A69" s="973"/>
      <c r="C69" s="682" t="str">
        <f>IF(C29&lt;&gt;"",C29,"")</f>
        <v/>
      </c>
      <c r="D69" s="676" t="str">
        <f t="shared" ref="D69:H69" si="2">IF(D29&lt;&gt;"",D29,"")</f>
        <v/>
      </c>
      <c r="E69" s="675" t="str">
        <f t="shared" si="2"/>
        <v/>
      </c>
      <c r="F69" s="675" t="str">
        <f t="shared" si="2"/>
        <v/>
      </c>
      <c r="G69" s="680" t="str">
        <f t="shared" si="2"/>
        <v/>
      </c>
      <c r="H69" s="677" t="str">
        <f t="shared" si="2"/>
        <v/>
      </c>
      <c r="K69" s="960" t="s">
        <v>700</v>
      </c>
      <c r="L69" s="1017"/>
      <c r="M69" s="1017"/>
      <c r="N69" s="1017"/>
      <c r="O69" s="1018"/>
    </row>
    <row r="70" spans="1:15" x14ac:dyDescent="0.25">
      <c r="A70" s="973"/>
      <c r="C70" s="682" t="str">
        <f t="shared" ref="C70:H85" si="3">IF(C30&lt;&gt;"",C30,"")</f>
        <v/>
      </c>
      <c r="D70" s="676" t="str">
        <f t="shared" si="3"/>
        <v/>
      </c>
      <c r="E70" s="675" t="str">
        <f t="shared" si="3"/>
        <v/>
      </c>
      <c r="F70" s="675" t="str">
        <f t="shared" si="3"/>
        <v/>
      </c>
      <c r="G70" s="680" t="str">
        <f t="shared" si="3"/>
        <v/>
      </c>
      <c r="H70" s="677" t="str">
        <f t="shared" si="3"/>
        <v/>
      </c>
      <c r="K70" s="1019"/>
      <c r="L70" s="1020"/>
      <c r="M70" s="1020"/>
      <c r="N70" s="1020"/>
      <c r="O70" s="1021"/>
    </row>
    <row r="71" spans="1:15" x14ac:dyDescent="0.25">
      <c r="A71" s="973"/>
      <c r="B71" s="437"/>
      <c r="C71" s="682" t="str">
        <f t="shared" si="3"/>
        <v/>
      </c>
      <c r="D71" s="676" t="str">
        <f t="shared" si="3"/>
        <v/>
      </c>
      <c r="E71" s="675" t="str">
        <f t="shared" si="3"/>
        <v/>
      </c>
      <c r="F71" s="675" t="str">
        <f t="shared" si="3"/>
        <v/>
      </c>
      <c r="G71" s="680" t="str">
        <f t="shared" si="3"/>
        <v/>
      </c>
      <c r="H71" s="677" t="str">
        <f t="shared" si="3"/>
        <v/>
      </c>
      <c r="K71" s="1019"/>
      <c r="L71" s="1020"/>
      <c r="M71" s="1020"/>
      <c r="N71" s="1020"/>
      <c r="O71" s="1021"/>
    </row>
    <row r="72" spans="1:15" x14ac:dyDescent="0.25">
      <c r="A72" s="973"/>
      <c r="B72" s="437"/>
      <c r="C72" s="682" t="str">
        <f t="shared" si="3"/>
        <v/>
      </c>
      <c r="D72" s="676" t="str">
        <f t="shared" si="3"/>
        <v/>
      </c>
      <c r="E72" s="675" t="str">
        <f t="shared" si="3"/>
        <v/>
      </c>
      <c r="F72" s="675" t="str">
        <f t="shared" si="3"/>
        <v/>
      </c>
      <c r="G72" s="680" t="str">
        <f t="shared" si="3"/>
        <v/>
      </c>
      <c r="H72" s="677" t="str">
        <f t="shared" si="3"/>
        <v/>
      </c>
      <c r="K72" s="1019"/>
      <c r="L72" s="1020"/>
      <c r="M72" s="1020"/>
      <c r="N72" s="1020"/>
      <c r="O72" s="1021"/>
    </row>
    <row r="73" spans="1:15" x14ac:dyDescent="0.25">
      <c r="A73" s="973"/>
      <c r="C73" s="682" t="str">
        <f t="shared" si="3"/>
        <v/>
      </c>
      <c r="D73" s="676" t="str">
        <f t="shared" si="3"/>
        <v/>
      </c>
      <c r="E73" s="675" t="str">
        <f t="shared" si="3"/>
        <v/>
      </c>
      <c r="F73" s="675" t="str">
        <f t="shared" si="3"/>
        <v/>
      </c>
      <c r="G73" s="680" t="str">
        <f t="shared" si="3"/>
        <v/>
      </c>
      <c r="H73" s="677" t="str">
        <f t="shared" si="3"/>
        <v/>
      </c>
      <c r="K73" s="1022"/>
      <c r="L73" s="1023"/>
      <c r="M73" s="1023"/>
      <c r="N73" s="1023"/>
      <c r="O73" s="1024"/>
    </row>
    <row r="74" spans="1:15" x14ac:dyDescent="0.25">
      <c r="A74" s="973"/>
      <c r="C74" s="682" t="str">
        <f t="shared" si="3"/>
        <v/>
      </c>
      <c r="D74" s="676" t="str">
        <f t="shared" si="3"/>
        <v/>
      </c>
      <c r="E74" s="675" t="str">
        <f t="shared" si="3"/>
        <v/>
      </c>
      <c r="F74" s="675" t="str">
        <f t="shared" si="3"/>
        <v/>
      </c>
      <c r="G74" s="680" t="str">
        <f t="shared" si="3"/>
        <v/>
      </c>
      <c r="H74" s="677" t="str">
        <f t="shared" si="3"/>
        <v/>
      </c>
    </row>
    <row r="75" spans="1:15" x14ac:dyDescent="0.25">
      <c r="A75" s="973"/>
      <c r="C75" s="682" t="str">
        <f t="shared" si="3"/>
        <v/>
      </c>
      <c r="D75" s="676" t="str">
        <f t="shared" si="3"/>
        <v/>
      </c>
      <c r="E75" s="675" t="str">
        <f t="shared" si="3"/>
        <v/>
      </c>
      <c r="F75" s="675" t="str">
        <f t="shared" si="3"/>
        <v/>
      </c>
      <c r="G75" s="680" t="str">
        <f t="shared" si="3"/>
        <v/>
      </c>
      <c r="H75" s="677" t="str">
        <f t="shared" si="3"/>
        <v/>
      </c>
    </row>
    <row r="76" spans="1:15" x14ac:dyDescent="0.25">
      <c r="A76" s="973"/>
      <c r="C76" s="682" t="str">
        <f t="shared" si="3"/>
        <v/>
      </c>
      <c r="D76" s="676" t="str">
        <f t="shared" si="3"/>
        <v/>
      </c>
      <c r="E76" s="675" t="str">
        <f t="shared" si="3"/>
        <v/>
      </c>
      <c r="F76" s="675" t="str">
        <f t="shared" si="3"/>
        <v/>
      </c>
      <c r="G76" s="680" t="str">
        <f t="shared" si="3"/>
        <v/>
      </c>
      <c r="H76" s="677" t="str">
        <f t="shared" si="3"/>
        <v/>
      </c>
    </row>
    <row r="77" spans="1:15" x14ac:dyDescent="0.25">
      <c r="A77" s="973"/>
      <c r="C77" s="682" t="str">
        <f t="shared" si="3"/>
        <v/>
      </c>
      <c r="D77" s="676" t="str">
        <f t="shared" si="3"/>
        <v/>
      </c>
      <c r="E77" s="675" t="str">
        <f t="shared" si="3"/>
        <v/>
      </c>
      <c r="F77" s="675" t="str">
        <f t="shared" si="3"/>
        <v/>
      </c>
      <c r="G77" s="680" t="str">
        <f t="shared" si="3"/>
        <v/>
      </c>
      <c r="H77" s="677" t="str">
        <f t="shared" si="3"/>
        <v/>
      </c>
    </row>
    <row r="78" spans="1:15" x14ac:dyDescent="0.25">
      <c r="A78" s="973"/>
      <c r="C78" s="682" t="str">
        <f t="shared" si="3"/>
        <v/>
      </c>
      <c r="D78" s="676" t="str">
        <f t="shared" si="3"/>
        <v/>
      </c>
      <c r="E78" s="675" t="str">
        <f t="shared" si="3"/>
        <v/>
      </c>
      <c r="F78" s="675" t="str">
        <f t="shared" si="3"/>
        <v/>
      </c>
      <c r="G78" s="680" t="str">
        <f t="shared" si="3"/>
        <v/>
      </c>
      <c r="H78" s="677" t="str">
        <f t="shared" si="3"/>
        <v/>
      </c>
    </row>
    <row r="79" spans="1:15" x14ac:dyDescent="0.25">
      <c r="A79" s="973"/>
      <c r="C79" s="682" t="str">
        <f t="shared" si="3"/>
        <v/>
      </c>
      <c r="D79" s="676" t="str">
        <f t="shared" si="3"/>
        <v/>
      </c>
      <c r="E79" s="675" t="str">
        <f t="shared" si="3"/>
        <v/>
      </c>
      <c r="F79" s="675" t="str">
        <f t="shared" si="3"/>
        <v/>
      </c>
      <c r="G79" s="680" t="str">
        <f t="shared" si="3"/>
        <v/>
      </c>
      <c r="H79" s="677" t="str">
        <f t="shared" si="3"/>
        <v/>
      </c>
    </row>
    <row r="80" spans="1:15" x14ac:dyDescent="0.25">
      <c r="A80" s="973"/>
      <c r="C80" s="682" t="str">
        <f t="shared" si="3"/>
        <v/>
      </c>
      <c r="D80" s="676" t="str">
        <f t="shared" si="3"/>
        <v/>
      </c>
      <c r="E80" s="675" t="str">
        <f t="shared" si="3"/>
        <v/>
      </c>
      <c r="F80" s="675" t="str">
        <f t="shared" si="3"/>
        <v/>
      </c>
      <c r="G80" s="680" t="str">
        <f t="shared" si="3"/>
        <v/>
      </c>
      <c r="H80" s="677" t="str">
        <f t="shared" si="3"/>
        <v/>
      </c>
    </row>
    <row r="81" spans="1:9" x14ac:dyDescent="0.25">
      <c r="A81" s="973"/>
      <c r="C81" s="682" t="str">
        <f t="shared" si="3"/>
        <v/>
      </c>
      <c r="D81" s="676" t="str">
        <f t="shared" si="3"/>
        <v/>
      </c>
      <c r="E81" s="675" t="str">
        <f t="shared" si="3"/>
        <v/>
      </c>
      <c r="F81" s="675" t="str">
        <f t="shared" si="3"/>
        <v/>
      </c>
      <c r="G81" s="680" t="str">
        <f t="shared" si="3"/>
        <v/>
      </c>
      <c r="H81" s="677" t="str">
        <f t="shared" si="3"/>
        <v/>
      </c>
    </row>
    <row r="82" spans="1:9" x14ac:dyDescent="0.25">
      <c r="A82" s="973"/>
      <c r="C82" s="682" t="str">
        <f t="shared" si="3"/>
        <v/>
      </c>
      <c r="D82" s="676" t="str">
        <f t="shared" si="3"/>
        <v/>
      </c>
      <c r="E82" s="675" t="str">
        <f t="shared" si="3"/>
        <v/>
      </c>
      <c r="F82" s="675" t="str">
        <f t="shared" si="3"/>
        <v/>
      </c>
      <c r="G82" s="680" t="str">
        <f t="shared" si="3"/>
        <v/>
      </c>
      <c r="H82" s="677" t="str">
        <f t="shared" si="3"/>
        <v/>
      </c>
    </row>
    <row r="83" spans="1:9" x14ac:dyDescent="0.25">
      <c r="A83" s="973"/>
      <c r="B83" s="428"/>
      <c r="C83" s="682" t="str">
        <f t="shared" si="3"/>
        <v/>
      </c>
      <c r="D83" s="676" t="str">
        <f t="shared" si="3"/>
        <v/>
      </c>
      <c r="E83" s="675" t="str">
        <f t="shared" si="3"/>
        <v/>
      </c>
      <c r="F83" s="675" t="str">
        <f t="shared" si="3"/>
        <v/>
      </c>
      <c r="G83" s="680" t="str">
        <f t="shared" si="3"/>
        <v/>
      </c>
      <c r="H83" s="677" t="str">
        <f t="shared" si="3"/>
        <v/>
      </c>
    </row>
    <row r="84" spans="1:9" x14ac:dyDescent="0.25">
      <c r="A84" s="973"/>
      <c r="C84" s="682" t="str">
        <f t="shared" si="3"/>
        <v/>
      </c>
      <c r="D84" s="676" t="str">
        <f t="shared" si="3"/>
        <v/>
      </c>
      <c r="E84" s="675" t="str">
        <f t="shared" si="3"/>
        <v/>
      </c>
      <c r="F84" s="675" t="str">
        <f t="shared" si="3"/>
        <v/>
      </c>
      <c r="G84" s="680" t="str">
        <f t="shared" si="3"/>
        <v/>
      </c>
      <c r="H84" s="677" t="str">
        <f t="shared" si="3"/>
        <v/>
      </c>
    </row>
    <row r="85" spans="1:9" x14ac:dyDescent="0.25">
      <c r="A85" s="973"/>
      <c r="C85" s="682" t="str">
        <f t="shared" si="3"/>
        <v/>
      </c>
      <c r="D85" s="676" t="str">
        <f t="shared" si="3"/>
        <v/>
      </c>
      <c r="E85" s="675" t="str">
        <f t="shared" si="3"/>
        <v/>
      </c>
      <c r="F85" s="675" t="str">
        <f t="shared" si="3"/>
        <v/>
      </c>
      <c r="G85" s="680" t="str">
        <f t="shared" si="3"/>
        <v/>
      </c>
      <c r="H85" s="677" t="str">
        <f t="shared" si="3"/>
        <v/>
      </c>
    </row>
    <row r="86" spans="1:9" x14ac:dyDescent="0.25">
      <c r="A86" s="973"/>
      <c r="C86" s="682" t="str">
        <f t="shared" ref="C86:H88" si="4">IF(C46&lt;&gt;"",C46,"")</f>
        <v/>
      </c>
      <c r="D86" s="676" t="str">
        <f t="shared" si="4"/>
        <v/>
      </c>
      <c r="E86" s="675" t="str">
        <f t="shared" si="4"/>
        <v/>
      </c>
      <c r="F86" s="675" t="str">
        <f t="shared" si="4"/>
        <v/>
      </c>
      <c r="G86" s="680" t="str">
        <f t="shared" si="4"/>
        <v/>
      </c>
      <c r="H86" s="677" t="str">
        <f t="shared" si="4"/>
        <v/>
      </c>
    </row>
    <row r="87" spans="1:9" x14ac:dyDescent="0.25">
      <c r="A87" s="973"/>
      <c r="C87" s="682" t="str">
        <f t="shared" si="4"/>
        <v/>
      </c>
      <c r="D87" s="676" t="str">
        <f t="shared" si="4"/>
        <v/>
      </c>
      <c r="E87" s="675" t="str">
        <f t="shared" si="4"/>
        <v/>
      </c>
      <c r="F87" s="675" t="str">
        <f t="shared" si="4"/>
        <v/>
      </c>
      <c r="G87" s="680" t="str">
        <f t="shared" si="4"/>
        <v/>
      </c>
      <c r="H87" s="677" t="str">
        <f t="shared" si="4"/>
        <v/>
      </c>
    </row>
    <row r="88" spans="1:9" x14ac:dyDescent="0.25">
      <c r="A88" s="973"/>
      <c r="C88" s="682" t="str">
        <f t="shared" si="4"/>
        <v/>
      </c>
      <c r="D88" s="674" t="str">
        <f t="shared" si="4"/>
        <v/>
      </c>
      <c r="E88" s="675" t="str">
        <f t="shared" si="4"/>
        <v/>
      </c>
      <c r="F88" s="675" t="str">
        <f t="shared" si="4"/>
        <v/>
      </c>
      <c r="G88" s="680" t="str">
        <f t="shared" si="4"/>
        <v/>
      </c>
      <c r="H88" s="677" t="str">
        <f t="shared" si="4"/>
        <v/>
      </c>
    </row>
    <row r="89" spans="1:9" x14ac:dyDescent="0.25">
      <c r="A89" s="973"/>
      <c r="C89" s="683"/>
      <c r="D89" s="683"/>
      <c r="E89" s="683"/>
      <c r="F89" s="683"/>
      <c r="G89" s="1040" t="str">
        <f>IF(VSK&lt;&gt;0, SUM(H69:H88),"")</f>
        <v/>
      </c>
      <c r="H89" s="1040"/>
    </row>
    <row r="90" spans="1:9" x14ac:dyDescent="0.25">
      <c r="A90" s="973"/>
    </row>
    <row r="91" spans="1:9" x14ac:dyDescent="0.25">
      <c r="A91" s="973"/>
      <c r="B91" s="428"/>
      <c r="C91" s="425" t="str">
        <f>IF(AND(ZuAbschlag&lt;&gt;0,VSK&lt;&gt;0),"Zu-/Abschlag:","")</f>
        <v/>
      </c>
      <c r="E91" s="444" t="str">
        <f>IF(AND(ZuAbschlag&lt;&gt;0,VSK&lt;&gt;0),ZuAbschlag,"")</f>
        <v/>
      </c>
      <c r="F91" s="733" t="str">
        <f>IF(AND(ZuAbschlag&lt;&gt;0,VSK&lt;&gt;0),G89*E91,"")</f>
        <v/>
      </c>
      <c r="G91" s="426" t="str">
        <f>IF(AND(ZuAbschlag&lt;&gt;0,VSK&lt;&gt;0,F51&lt;&gt;""),F51,"")</f>
        <v/>
      </c>
    </row>
    <row r="92" spans="1:9" ht="15.75" x14ac:dyDescent="0.25">
      <c r="A92" s="973"/>
      <c r="C92" s="425" t="str">
        <f>IF(AND(NK&lt;&gt;0,VSK&lt;&gt;0),"Nebenkosten:","")</f>
        <v/>
      </c>
      <c r="F92" s="733" t="str">
        <f>IF(AND(NK&lt;&gt;0,VSK&lt;&gt;0),NK,"")</f>
        <v/>
      </c>
      <c r="G92" s="426" t="str">
        <f>IF(AND(NK&lt;&gt;0,VSK&lt;&gt;0,F52&lt;&gt;""),F52,"")</f>
        <v/>
      </c>
      <c r="I92" s="445"/>
    </row>
    <row r="93" spans="1:9" x14ac:dyDescent="0.25">
      <c r="A93" s="973"/>
    </row>
    <row r="94" spans="1:9" ht="15.75" x14ac:dyDescent="0.25">
      <c r="A94" s="973"/>
      <c r="C94" s="445" t="s">
        <v>71</v>
      </c>
      <c r="D94" s="445"/>
      <c r="E94" s="445"/>
      <c r="F94" s="445"/>
      <c r="G94" s="1041">
        <f>IF(VSK&gt;0,SUM(F92,F91,G89),0)</f>
        <v>0</v>
      </c>
      <c r="H94" s="1042"/>
    </row>
    <row r="95" spans="1:9" x14ac:dyDescent="0.25">
      <c r="A95" s="973"/>
    </row>
    <row r="96" spans="1:9" x14ac:dyDescent="0.25">
      <c r="A96" s="973"/>
    </row>
    <row r="97" spans="1:1" x14ac:dyDescent="0.25">
      <c r="A97" s="973"/>
    </row>
  </sheetData>
  <mergeCells count="21">
    <mergeCell ref="C25:F25"/>
    <mergeCell ref="A1:A55"/>
    <mergeCell ref="C2:H2"/>
    <mergeCell ref="C5:F5"/>
    <mergeCell ref="A56:A97"/>
    <mergeCell ref="B57:I57"/>
    <mergeCell ref="B58:I58"/>
    <mergeCell ref="B59:I59"/>
    <mergeCell ref="B60:I60"/>
    <mergeCell ref="B62:I62"/>
    <mergeCell ref="K69:O73"/>
    <mergeCell ref="G89:H89"/>
    <mergeCell ref="G94:H94"/>
    <mergeCell ref="C6:F6"/>
    <mergeCell ref="C7:F7"/>
    <mergeCell ref="C8:F8"/>
    <mergeCell ref="C9:F9"/>
    <mergeCell ref="C10:F10"/>
    <mergeCell ref="F51:H51"/>
    <mergeCell ref="F52:H52"/>
    <mergeCell ref="G54:H54"/>
  </mergeCells>
  <dataValidations disablePrompts="1" count="3">
    <dataValidation type="decimal" operator="greaterThan" allowBlank="1" showInputMessage="1" showErrorMessage="1" sqref="E52">
      <formula1>-1000000</formula1>
    </dataValidation>
    <dataValidation type="decimal" operator="greaterThan" showInputMessage="1" showErrorMessage="1" sqref="E51">
      <formula1>-1000</formula1>
    </dataValidation>
    <dataValidation type="list" showInputMessage="1" showErrorMessage="1" sqref="E29:E48">
      <formula1>$G$5:$G$25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zoomScaleNormal="100" workbookViewId="0">
      <selection activeCell="C22" sqref="C22"/>
    </sheetView>
  </sheetViews>
  <sheetFormatPr baseColWidth="10" defaultRowHeight="15" x14ac:dyDescent="0.25"/>
  <cols>
    <col min="1" max="1" width="4" style="425" customWidth="1"/>
    <col min="2" max="2" width="4.7109375" style="425" customWidth="1"/>
    <col min="3" max="3" width="5.7109375" style="425" customWidth="1"/>
    <col min="4" max="4" width="35.7109375" style="425" customWidth="1"/>
    <col min="5" max="7" width="8.42578125" style="425" customWidth="1"/>
    <col min="8" max="8" width="11.42578125" style="425" customWidth="1"/>
    <col min="9" max="9" width="4.28515625" style="425" customWidth="1"/>
    <col min="10" max="16384" width="11.42578125" style="425"/>
  </cols>
  <sheetData>
    <row r="1" spans="1:21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CELL("ZEILE",B55)</f>
        <v>55</v>
      </c>
    </row>
    <row r="2" spans="1:21" ht="23.25" x14ac:dyDescent="0.25">
      <c r="A2" s="975"/>
      <c r="B2" s="475"/>
      <c r="C2" s="995" t="s">
        <v>667</v>
      </c>
      <c r="D2" s="996"/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CELL("ZEILE",G87)</f>
        <v>87</v>
      </c>
    </row>
    <row r="3" spans="1:21" ht="15.75" x14ac:dyDescent="0.25">
      <c r="A3" s="975"/>
      <c r="B3" s="516"/>
      <c r="C3" s="516"/>
      <c r="D3" s="516"/>
      <c r="E3" s="516"/>
      <c r="F3" s="516"/>
      <c r="G3" s="516"/>
      <c r="H3" s="516"/>
      <c r="I3" s="516"/>
      <c r="K3" s="268" t="s">
        <v>794</v>
      </c>
      <c r="L3" s="236"/>
      <c r="M3" s="236"/>
      <c r="N3" s="268">
        <f>E47</f>
        <v>0</v>
      </c>
    </row>
    <row r="4" spans="1:21" ht="16.5" thickBot="1" x14ac:dyDescent="0.3">
      <c r="A4" s="975"/>
      <c r="B4" s="516"/>
      <c r="C4" s="516"/>
      <c r="D4" s="516" t="s">
        <v>669</v>
      </c>
      <c r="E4" s="516"/>
      <c r="F4" s="516"/>
      <c r="G4" s="516" t="s">
        <v>668</v>
      </c>
      <c r="H4" s="516" t="s">
        <v>670</v>
      </c>
      <c r="I4" s="516"/>
    </row>
    <row r="5" spans="1:21" s="356" customFormat="1" ht="15" customHeight="1" thickBot="1" x14ac:dyDescent="0.25">
      <c r="A5" s="975"/>
      <c r="B5" s="366"/>
      <c r="C5" s="1036" t="s">
        <v>671</v>
      </c>
      <c r="D5" s="1036"/>
      <c r="E5" s="1036"/>
      <c r="F5" s="1036"/>
      <c r="G5" s="664" t="s">
        <v>673</v>
      </c>
      <c r="H5" s="666">
        <f>ROUND(Gesamt!$E$14*0.5,2)</f>
        <v>39.54</v>
      </c>
      <c r="I5" s="667"/>
    </row>
    <row r="6" spans="1:21" s="356" customFormat="1" ht="15" customHeight="1" thickBot="1" x14ac:dyDescent="0.25">
      <c r="A6" s="975"/>
      <c r="B6" s="366"/>
      <c r="C6" s="1036" t="s">
        <v>672</v>
      </c>
      <c r="D6" s="1036"/>
      <c r="E6" s="1036"/>
      <c r="F6" s="1036"/>
      <c r="G6" s="664" t="s">
        <v>701</v>
      </c>
      <c r="H6" s="666">
        <f>ROUND(Gesamt!$E$14*0.65,2)</f>
        <v>51.4</v>
      </c>
      <c r="I6" s="667"/>
      <c r="K6" s="668"/>
      <c r="M6" s="669"/>
    </row>
    <row r="7" spans="1:21" s="356" customFormat="1" ht="15" customHeight="1" thickBot="1" x14ac:dyDescent="0.25">
      <c r="A7" s="975"/>
      <c r="B7" s="366"/>
      <c r="C7" s="1036" t="s">
        <v>674</v>
      </c>
      <c r="D7" s="1036"/>
      <c r="E7" s="1036"/>
      <c r="F7" s="1036"/>
      <c r="G7" s="664" t="s">
        <v>675</v>
      </c>
      <c r="H7" s="666">
        <f>ROUND(Gesamt!$E$14*0.8,2)</f>
        <v>63.26</v>
      </c>
      <c r="I7" s="667"/>
      <c r="K7" s="668"/>
      <c r="M7" s="669"/>
      <c r="P7" s="668"/>
      <c r="Q7" s="668"/>
      <c r="R7" s="668"/>
      <c r="S7" s="668"/>
      <c r="T7" s="668"/>
      <c r="U7" s="668"/>
    </row>
    <row r="8" spans="1:21" s="356" customFormat="1" ht="15" customHeight="1" thickBot="1" x14ac:dyDescent="0.25">
      <c r="A8" s="975"/>
      <c r="B8" s="366"/>
      <c r="C8" s="1036" t="s">
        <v>681</v>
      </c>
      <c r="D8" s="1036"/>
      <c r="E8" s="1036"/>
      <c r="F8" s="1036"/>
      <c r="G8" s="664" t="s">
        <v>682</v>
      </c>
      <c r="H8" s="666">
        <f>ROUND(Gesamt!$E$14*0.8+12,2)</f>
        <v>75.260000000000005</v>
      </c>
      <c r="I8" s="667"/>
      <c r="K8" s="668"/>
      <c r="M8" s="669"/>
      <c r="P8" s="668"/>
      <c r="Q8" s="668"/>
      <c r="R8" s="668"/>
      <c r="S8" s="668"/>
      <c r="T8" s="668"/>
      <c r="U8" s="668"/>
    </row>
    <row r="9" spans="1:21" s="356" customFormat="1" ht="15" customHeight="1" thickBot="1" x14ac:dyDescent="0.25">
      <c r="A9" s="975"/>
      <c r="B9" s="534"/>
      <c r="C9" s="1036" t="s">
        <v>676</v>
      </c>
      <c r="D9" s="1036"/>
      <c r="E9" s="1036"/>
      <c r="F9" s="1036"/>
      <c r="G9" s="664" t="s">
        <v>677</v>
      </c>
      <c r="H9" s="666">
        <f>ROUND(Gesamt!$E$14*1,2)</f>
        <v>79.08</v>
      </c>
      <c r="I9" s="534"/>
      <c r="K9" s="668"/>
      <c r="M9" s="669"/>
      <c r="P9" s="668"/>
      <c r="Q9" s="668"/>
      <c r="R9" s="668"/>
      <c r="S9" s="668"/>
      <c r="T9" s="668"/>
      <c r="U9" s="668"/>
    </row>
    <row r="10" spans="1:21" s="356" customFormat="1" ht="15" customHeight="1" thickBot="1" x14ac:dyDescent="0.25">
      <c r="A10" s="975"/>
      <c r="B10" s="534"/>
      <c r="C10" s="1036" t="s">
        <v>812</v>
      </c>
      <c r="D10" s="1036"/>
      <c r="E10" s="1036"/>
      <c r="F10" s="1036"/>
      <c r="G10" s="664" t="s">
        <v>817</v>
      </c>
      <c r="H10" s="666">
        <f>ROUND(Gesamt!$E$14*1.15,2)</f>
        <v>90.94</v>
      </c>
      <c r="I10" s="534"/>
      <c r="K10" s="668"/>
      <c r="M10" s="669"/>
      <c r="P10" s="668"/>
      <c r="Q10" s="668"/>
      <c r="R10" s="668"/>
      <c r="S10" s="668"/>
      <c r="T10" s="668"/>
      <c r="U10" s="668"/>
    </row>
    <row r="11" spans="1:21" s="356" customFormat="1" ht="15" customHeight="1" thickBot="1" x14ac:dyDescent="0.25">
      <c r="A11" s="975"/>
      <c r="B11" s="534"/>
      <c r="C11" s="1036" t="s">
        <v>813</v>
      </c>
      <c r="D11" s="1036"/>
      <c r="E11" s="1036"/>
      <c r="F11" s="1036"/>
      <c r="G11" s="664" t="s">
        <v>816</v>
      </c>
      <c r="H11" s="666">
        <f>ROUND(Gesamt!$E$14*1.25,2)</f>
        <v>98.85</v>
      </c>
      <c r="I11" s="534"/>
      <c r="K11" s="668"/>
      <c r="L11" s="668"/>
      <c r="M11" s="670"/>
      <c r="N11" s="668"/>
      <c r="O11" s="668"/>
      <c r="P11" s="668"/>
      <c r="Q11" s="668"/>
      <c r="R11" s="668"/>
      <c r="S11" s="668"/>
      <c r="T11" s="668"/>
      <c r="U11" s="668"/>
    </row>
    <row r="12" spans="1:21" s="356" customFormat="1" ht="15" customHeight="1" thickBot="1" x14ac:dyDescent="0.25">
      <c r="A12" s="975"/>
      <c r="B12" s="534"/>
      <c r="C12" s="1037" t="s">
        <v>814</v>
      </c>
      <c r="D12" s="1038"/>
      <c r="E12" s="1038"/>
      <c r="F12" s="1039"/>
      <c r="G12" s="664" t="s">
        <v>815</v>
      </c>
      <c r="H12" s="666">
        <f>ROUND(Gesamt!$E$14*1.5,2)</f>
        <v>118.62</v>
      </c>
      <c r="I12" s="534"/>
      <c r="P12" s="668"/>
      <c r="Q12" s="668"/>
      <c r="R12" s="668"/>
      <c r="S12" s="668"/>
      <c r="T12" s="668"/>
      <c r="U12" s="668"/>
    </row>
    <row r="13" spans="1:21" s="356" customFormat="1" ht="15" customHeight="1" thickBot="1" x14ac:dyDescent="0.25">
      <c r="A13" s="975"/>
      <c r="B13" s="534"/>
      <c r="C13" s="1037" t="s">
        <v>678</v>
      </c>
      <c r="D13" s="1038"/>
      <c r="E13" s="1038"/>
      <c r="F13" s="1039"/>
      <c r="G13" s="664" t="s">
        <v>972</v>
      </c>
      <c r="H13" s="666">
        <f>ROUND(Gesamt!$E$14*2,2)</f>
        <v>158.16</v>
      </c>
      <c r="I13" s="534"/>
      <c r="K13" s="668"/>
      <c r="L13" s="668"/>
      <c r="M13" s="671"/>
      <c r="N13" s="668"/>
      <c r="O13" s="668"/>
      <c r="P13" s="668"/>
      <c r="Q13" s="668"/>
      <c r="R13" s="668"/>
      <c r="S13" s="668"/>
      <c r="T13" s="668"/>
      <c r="U13" s="668"/>
    </row>
    <row r="14" spans="1:21" s="356" customFormat="1" ht="15" customHeight="1" thickBot="1" x14ac:dyDescent="0.25">
      <c r="A14" s="975"/>
      <c r="B14" s="534"/>
      <c r="C14" s="1037" t="s">
        <v>680</v>
      </c>
      <c r="D14" s="1038"/>
      <c r="E14" s="1038"/>
      <c r="F14" s="1039"/>
      <c r="G14" s="664" t="s">
        <v>970</v>
      </c>
      <c r="H14" s="666">
        <f>ROUND(Gesamt!$E$14*1+H17+H18,2)</f>
        <v>94.89</v>
      </c>
      <c r="I14" s="534"/>
      <c r="K14" s="668"/>
      <c r="L14" s="668"/>
      <c r="M14" s="671"/>
      <c r="N14" s="668"/>
      <c r="O14" s="668"/>
      <c r="P14" s="668"/>
      <c r="Q14" s="668"/>
      <c r="R14" s="668"/>
      <c r="S14" s="668"/>
      <c r="T14" s="668"/>
      <c r="U14" s="668"/>
    </row>
    <row r="15" spans="1:21" s="356" customFormat="1" ht="15" customHeight="1" thickBot="1" x14ac:dyDescent="0.25">
      <c r="A15" s="975"/>
      <c r="B15" s="534"/>
      <c r="C15" s="1037" t="s">
        <v>679</v>
      </c>
      <c r="D15" s="1038"/>
      <c r="E15" s="1038"/>
      <c r="F15" s="1039"/>
      <c r="G15" s="664" t="s">
        <v>971</v>
      </c>
      <c r="H15" s="666">
        <f>ROUND(Gesamt!$E$14*1.6+H17,2)</f>
        <v>138.38999999999999</v>
      </c>
      <c r="I15" s="534"/>
      <c r="K15" s="668"/>
      <c r="L15" s="668"/>
      <c r="M15" s="671"/>
      <c r="N15" s="668"/>
      <c r="O15" s="668"/>
      <c r="P15" s="668"/>
      <c r="Q15" s="668"/>
      <c r="R15" s="668"/>
      <c r="S15" s="668"/>
      <c r="T15" s="668"/>
      <c r="U15" s="668"/>
    </row>
    <row r="16" spans="1:21" s="356" customFormat="1" ht="15" customHeight="1" thickBot="1" x14ac:dyDescent="0.25">
      <c r="A16" s="975"/>
      <c r="B16" s="534"/>
      <c r="C16" s="1037" t="s">
        <v>684</v>
      </c>
      <c r="D16" s="1038"/>
      <c r="E16" s="1038"/>
      <c r="F16" s="1039"/>
      <c r="G16" s="664" t="s">
        <v>683</v>
      </c>
      <c r="H16" s="666">
        <f>ROUND(Gesamt!$E$14*1.6+H17+20*0.52,2)</f>
        <v>148.79</v>
      </c>
      <c r="I16" s="534"/>
      <c r="K16" s="668"/>
      <c r="L16" s="668"/>
      <c r="M16" s="671"/>
      <c r="N16" s="668"/>
      <c r="O16" s="668"/>
      <c r="P16" s="668"/>
      <c r="Q16" s="668"/>
      <c r="R16" s="668"/>
      <c r="S16" s="668"/>
      <c r="T16" s="668"/>
      <c r="U16" s="668"/>
    </row>
    <row r="17" spans="1:21" s="356" customFormat="1" ht="15" customHeight="1" thickBot="1" x14ac:dyDescent="0.25">
      <c r="A17" s="975"/>
      <c r="B17" s="534"/>
      <c r="C17" s="719" t="s">
        <v>968</v>
      </c>
      <c r="D17" s="720"/>
      <c r="E17" s="720"/>
      <c r="F17" s="721"/>
      <c r="G17" s="664" t="s">
        <v>967</v>
      </c>
      <c r="H17" s="666">
        <f>ROUND(0.15*Gesamt!E14,2)</f>
        <v>11.86</v>
      </c>
      <c r="I17" s="534"/>
      <c r="K17" s="668"/>
      <c r="L17" s="668"/>
      <c r="M17" s="671"/>
      <c r="N17" s="668"/>
      <c r="O17" s="668"/>
      <c r="P17" s="668"/>
      <c r="Q17" s="668"/>
      <c r="R17" s="668"/>
      <c r="S17" s="668"/>
      <c r="T17" s="668"/>
      <c r="U17" s="668"/>
    </row>
    <row r="18" spans="1:21" s="356" customFormat="1" ht="15" customHeight="1" thickBot="1" x14ac:dyDescent="0.25">
      <c r="A18" s="975"/>
      <c r="B18" s="534"/>
      <c r="C18" s="1037" t="s">
        <v>966</v>
      </c>
      <c r="D18" s="1038"/>
      <c r="E18" s="1038"/>
      <c r="F18" s="1039"/>
      <c r="G18" s="664" t="s">
        <v>969</v>
      </c>
      <c r="H18" s="666">
        <f>ROUND(0.05*Gesamt!E14,2)</f>
        <v>3.95</v>
      </c>
      <c r="I18" s="534"/>
      <c r="K18" s="668"/>
      <c r="L18" s="668"/>
      <c r="M18" s="671"/>
      <c r="N18" s="668"/>
      <c r="O18" s="668"/>
      <c r="P18" s="668"/>
      <c r="Q18" s="668"/>
      <c r="R18" s="668"/>
      <c r="S18" s="668"/>
      <c r="T18" s="668"/>
      <c r="U18" s="668"/>
    </row>
    <row r="19" spans="1:21" s="356" customFormat="1" ht="15" customHeight="1" x14ac:dyDescent="0.2">
      <c r="A19" s="975"/>
      <c r="B19" s="534"/>
      <c r="C19" s="534"/>
      <c r="D19" s="534"/>
      <c r="E19" s="534"/>
      <c r="F19" s="534"/>
      <c r="G19" s="534"/>
      <c r="H19" s="534"/>
      <c r="I19" s="534"/>
      <c r="K19" s="668"/>
      <c r="L19" s="668"/>
      <c r="M19" s="671"/>
      <c r="N19" s="668"/>
      <c r="O19" s="668"/>
      <c r="P19" s="668"/>
      <c r="Q19" s="668"/>
      <c r="R19" s="668"/>
      <c r="S19" s="668"/>
      <c r="T19" s="668"/>
      <c r="U19" s="668"/>
    </row>
    <row r="20" spans="1:21" s="356" customFormat="1" ht="15" customHeight="1" x14ac:dyDescent="0.2">
      <c r="A20" s="975"/>
      <c r="B20" s="534"/>
      <c r="C20" s="534"/>
      <c r="D20" s="534"/>
      <c r="E20" s="534"/>
      <c r="F20" s="534"/>
      <c r="G20" s="534"/>
      <c r="H20" s="534"/>
      <c r="I20" s="534"/>
      <c r="K20" s="668"/>
      <c r="L20" s="668"/>
      <c r="M20" s="671"/>
      <c r="N20" s="668"/>
      <c r="O20" s="668"/>
      <c r="P20" s="668"/>
      <c r="Q20" s="668"/>
      <c r="R20" s="668"/>
      <c r="S20" s="668"/>
      <c r="T20" s="668"/>
      <c r="U20" s="668"/>
    </row>
    <row r="21" spans="1:21" s="356" customFormat="1" ht="15" customHeight="1" thickBot="1" x14ac:dyDescent="0.25">
      <c r="A21" s="975"/>
      <c r="B21" s="534"/>
      <c r="C21" s="534" t="s">
        <v>690</v>
      </c>
      <c r="D21" s="534" t="s">
        <v>691</v>
      </c>
      <c r="E21" s="672" t="s">
        <v>689</v>
      </c>
      <c r="F21" s="672" t="s">
        <v>694</v>
      </c>
      <c r="G21" s="672" t="s">
        <v>670</v>
      </c>
      <c r="H21" s="672" t="s">
        <v>688</v>
      </c>
      <c r="I21" s="534"/>
      <c r="K21" s="668"/>
      <c r="L21" s="668"/>
      <c r="M21" s="671"/>
      <c r="N21" s="668"/>
      <c r="O21" s="668"/>
      <c r="P21" s="668"/>
    </row>
    <row r="22" spans="1:21" ht="16.5" thickBot="1" x14ac:dyDescent="0.3">
      <c r="A22" s="975"/>
      <c r="B22" s="92"/>
      <c r="C22" s="681"/>
      <c r="D22" s="685"/>
      <c r="E22" s="665"/>
      <c r="F22" s="665"/>
      <c r="G22" s="684" t="str">
        <f>IF(E22&lt;&gt;"",VLOOKUP(E22,G$5:H$18,2,FALSE),"")</f>
        <v/>
      </c>
      <c r="H22" s="684" t="str">
        <f t="shared" ref="H22:H41" si="0">IF(AND(E22&lt;&gt;"",F22&lt;&gt;"",F22&gt;0),F22*G22,"")</f>
        <v/>
      </c>
      <c r="I22" s="93"/>
      <c r="K22" s="513"/>
      <c r="L22" s="513"/>
      <c r="M22" s="518"/>
      <c r="N22" s="513"/>
      <c r="O22" s="513"/>
      <c r="P22" s="513"/>
    </row>
    <row r="23" spans="1:21" ht="16.5" thickBot="1" x14ac:dyDescent="0.3">
      <c r="A23" s="975"/>
      <c r="B23" s="516"/>
      <c r="C23" s="681"/>
      <c r="D23" s="685"/>
      <c r="E23" s="665"/>
      <c r="F23" s="665"/>
      <c r="G23" s="684" t="str">
        <f t="shared" ref="G23:G41" si="1">IF(E23&lt;&gt;"",VLOOKUP(E23,G$5:H$18,2,FALSE),"")</f>
        <v/>
      </c>
      <c r="H23" s="684" t="str">
        <f t="shared" si="0"/>
        <v/>
      </c>
      <c r="I23" s="516"/>
      <c r="K23" s="513"/>
      <c r="L23" s="513"/>
      <c r="M23" s="518"/>
      <c r="N23" s="513"/>
      <c r="O23" s="513"/>
      <c r="P23" s="513"/>
    </row>
    <row r="24" spans="1:21" ht="16.5" thickBot="1" x14ac:dyDescent="0.3">
      <c r="A24" s="975"/>
      <c r="B24" s="516"/>
      <c r="C24" s="681"/>
      <c r="D24" s="685"/>
      <c r="E24" s="665"/>
      <c r="F24" s="665"/>
      <c r="G24" s="684" t="str">
        <f t="shared" si="1"/>
        <v/>
      </c>
      <c r="H24" s="684" t="str">
        <f t="shared" si="0"/>
        <v/>
      </c>
      <c r="I24" s="516"/>
      <c r="K24" s="513"/>
      <c r="L24" s="513"/>
      <c r="M24" s="518"/>
      <c r="N24" s="513"/>
      <c r="O24" s="513"/>
      <c r="P24" s="513"/>
    </row>
    <row r="25" spans="1:21" ht="16.5" thickBot="1" x14ac:dyDescent="0.3">
      <c r="A25" s="975"/>
      <c r="B25" s="516"/>
      <c r="C25" s="681"/>
      <c r="D25" s="685"/>
      <c r="E25" s="665"/>
      <c r="F25" s="665"/>
      <c r="G25" s="684" t="str">
        <f t="shared" si="1"/>
        <v/>
      </c>
      <c r="H25" s="684" t="str">
        <f t="shared" si="0"/>
        <v/>
      </c>
      <c r="I25" s="516"/>
      <c r="K25" s="513"/>
      <c r="L25" s="513"/>
      <c r="M25" s="518"/>
      <c r="N25" s="513"/>
      <c r="O25" s="513"/>
      <c r="P25" s="513"/>
    </row>
    <row r="26" spans="1:21" ht="16.5" thickBot="1" x14ac:dyDescent="0.3">
      <c r="A26" s="975"/>
      <c r="B26" s="516"/>
      <c r="C26" s="681"/>
      <c r="D26" s="685"/>
      <c r="E26" s="665"/>
      <c r="F26" s="665"/>
      <c r="G26" s="684" t="str">
        <f t="shared" si="1"/>
        <v/>
      </c>
      <c r="H26" s="684" t="str">
        <f t="shared" si="0"/>
        <v/>
      </c>
      <c r="I26" s="516"/>
      <c r="K26" s="513"/>
      <c r="L26" s="513"/>
      <c r="M26" s="518"/>
      <c r="N26" s="513"/>
      <c r="O26" s="513"/>
      <c r="P26" s="513"/>
    </row>
    <row r="27" spans="1:21" ht="16.5" thickBot="1" x14ac:dyDescent="0.3">
      <c r="A27" s="975"/>
      <c r="B27" s="516"/>
      <c r="C27" s="681"/>
      <c r="D27" s="685"/>
      <c r="E27" s="665"/>
      <c r="F27" s="665"/>
      <c r="G27" s="684" t="str">
        <f t="shared" si="1"/>
        <v/>
      </c>
      <c r="H27" s="684" t="str">
        <f t="shared" si="0"/>
        <v/>
      </c>
      <c r="I27" s="516"/>
      <c r="K27" s="513"/>
      <c r="L27" s="513"/>
      <c r="M27" s="518"/>
      <c r="N27" s="513"/>
      <c r="O27" s="513"/>
      <c r="P27" s="513"/>
    </row>
    <row r="28" spans="1:21" ht="16.5" thickBot="1" x14ac:dyDescent="0.3">
      <c r="A28" s="975"/>
      <c r="B28" s="516"/>
      <c r="C28" s="681"/>
      <c r="D28" s="685"/>
      <c r="E28" s="665"/>
      <c r="F28" s="665"/>
      <c r="G28" s="684" t="str">
        <f t="shared" si="1"/>
        <v/>
      </c>
      <c r="H28" s="684" t="str">
        <f t="shared" si="0"/>
        <v/>
      </c>
      <c r="I28" s="516"/>
      <c r="K28" s="513"/>
      <c r="L28" s="513"/>
      <c r="M28" s="518"/>
      <c r="N28" s="513"/>
      <c r="O28" s="513"/>
      <c r="P28" s="513"/>
    </row>
    <row r="29" spans="1:21" ht="16.5" thickBot="1" x14ac:dyDescent="0.3">
      <c r="A29" s="975"/>
      <c r="B29" s="516"/>
      <c r="C29" s="681"/>
      <c r="D29" s="685"/>
      <c r="E29" s="665"/>
      <c r="F29" s="665"/>
      <c r="G29" s="684" t="str">
        <f t="shared" si="1"/>
        <v/>
      </c>
      <c r="H29" s="684" t="str">
        <f t="shared" si="0"/>
        <v/>
      </c>
      <c r="I29" s="516"/>
      <c r="K29" s="513"/>
      <c r="L29" s="513"/>
      <c r="M29" s="518"/>
      <c r="N29" s="513"/>
      <c r="O29" s="513"/>
      <c r="P29" s="513"/>
    </row>
    <row r="30" spans="1:21" ht="16.5" thickBot="1" x14ac:dyDescent="0.3">
      <c r="A30" s="975"/>
      <c r="B30" s="516"/>
      <c r="C30" s="681"/>
      <c r="D30" s="685"/>
      <c r="E30" s="665"/>
      <c r="F30" s="665"/>
      <c r="G30" s="684" t="str">
        <f t="shared" si="1"/>
        <v/>
      </c>
      <c r="H30" s="684" t="str">
        <f t="shared" si="0"/>
        <v/>
      </c>
      <c r="I30" s="516"/>
      <c r="K30" s="513"/>
      <c r="L30" s="513"/>
      <c r="M30" s="518"/>
      <c r="N30" s="513"/>
      <c r="O30" s="513"/>
      <c r="P30" s="513"/>
    </row>
    <row r="31" spans="1:21" ht="16.5" thickBot="1" x14ac:dyDescent="0.3">
      <c r="A31" s="975"/>
      <c r="B31" s="516"/>
      <c r="C31" s="681"/>
      <c r="D31" s="685"/>
      <c r="E31" s="665"/>
      <c r="F31" s="665"/>
      <c r="G31" s="684" t="str">
        <f t="shared" si="1"/>
        <v/>
      </c>
      <c r="H31" s="684" t="str">
        <f t="shared" si="0"/>
        <v/>
      </c>
      <c r="I31" s="516"/>
      <c r="K31" s="513"/>
      <c r="L31" s="513"/>
      <c r="M31" s="518"/>
      <c r="N31" s="513"/>
      <c r="O31" s="513"/>
      <c r="P31" s="513"/>
    </row>
    <row r="32" spans="1:21" ht="16.5" thickBot="1" x14ac:dyDescent="0.3">
      <c r="A32" s="975"/>
      <c r="B32" s="516"/>
      <c r="C32" s="681"/>
      <c r="D32" s="685"/>
      <c r="E32" s="665"/>
      <c r="F32" s="665"/>
      <c r="G32" s="684" t="str">
        <f t="shared" si="1"/>
        <v/>
      </c>
      <c r="H32" s="684" t="str">
        <f t="shared" si="0"/>
        <v/>
      </c>
      <c r="I32" s="516"/>
      <c r="K32" s="513"/>
      <c r="L32" s="513"/>
      <c r="M32" s="518"/>
      <c r="N32" s="513"/>
      <c r="O32" s="513"/>
      <c r="P32" s="513"/>
    </row>
    <row r="33" spans="1:16" ht="16.5" thickBot="1" x14ac:dyDescent="0.3">
      <c r="A33" s="975"/>
      <c r="B33" s="516"/>
      <c r="C33" s="681"/>
      <c r="D33" s="685"/>
      <c r="E33" s="665"/>
      <c r="F33" s="665"/>
      <c r="G33" s="684" t="str">
        <f t="shared" si="1"/>
        <v/>
      </c>
      <c r="H33" s="684" t="str">
        <f t="shared" si="0"/>
        <v/>
      </c>
      <c r="I33" s="516"/>
      <c r="K33" s="513"/>
      <c r="L33" s="513"/>
      <c r="M33" s="518"/>
      <c r="N33" s="513"/>
      <c r="O33" s="513"/>
      <c r="P33" s="513"/>
    </row>
    <row r="34" spans="1:16" ht="16.5" thickBot="1" x14ac:dyDescent="0.3">
      <c r="A34" s="975"/>
      <c r="B34" s="516"/>
      <c r="C34" s="681"/>
      <c r="D34" s="685"/>
      <c r="E34" s="665"/>
      <c r="F34" s="665"/>
      <c r="G34" s="684" t="str">
        <f t="shared" si="1"/>
        <v/>
      </c>
      <c r="H34" s="684" t="str">
        <f t="shared" si="0"/>
        <v/>
      </c>
      <c r="I34" s="516"/>
      <c r="K34" s="513"/>
      <c r="L34" s="513"/>
      <c r="M34" s="518"/>
      <c r="N34" s="513"/>
      <c r="O34" s="513"/>
      <c r="P34" s="513"/>
    </row>
    <row r="35" spans="1:16" ht="16.5" thickBot="1" x14ac:dyDescent="0.3">
      <c r="A35" s="975"/>
      <c r="B35" s="516"/>
      <c r="C35" s="681"/>
      <c r="D35" s="685"/>
      <c r="E35" s="665"/>
      <c r="F35" s="665"/>
      <c r="G35" s="684" t="str">
        <f t="shared" si="1"/>
        <v/>
      </c>
      <c r="H35" s="684" t="str">
        <f t="shared" si="0"/>
        <v/>
      </c>
      <c r="I35" s="516"/>
      <c r="K35" s="513"/>
      <c r="L35" s="513"/>
      <c r="M35" s="518"/>
      <c r="N35" s="513"/>
      <c r="O35" s="513"/>
      <c r="P35" s="513"/>
    </row>
    <row r="36" spans="1:16" ht="16.5" thickBot="1" x14ac:dyDescent="0.3">
      <c r="A36" s="975"/>
      <c r="B36" s="516"/>
      <c r="C36" s="681"/>
      <c r="D36" s="685"/>
      <c r="E36" s="665"/>
      <c r="F36" s="665"/>
      <c r="G36" s="684" t="str">
        <f t="shared" si="1"/>
        <v/>
      </c>
      <c r="H36" s="684" t="str">
        <f t="shared" si="0"/>
        <v/>
      </c>
      <c r="I36" s="516"/>
      <c r="K36" s="513"/>
      <c r="L36" s="513"/>
      <c r="M36" s="518"/>
      <c r="N36" s="513"/>
      <c r="O36" s="513"/>
      <c r="P36" s="513"/>
    </row>
    <row r="37" spans="1:16" ht="16.5" thickBot="1" x14ac:dyDescent="0.3">
      <c r="A37" s="975"/>
      <c r="B37" s="516"/>
      <c r="C37" s="681"/>
      <c r="D37" s="685"/>
      <c r="E37" s="665"/>
      <c r="F37" s="665"/>
      <c r="G37" s="684" t="str">
        <f t="shared" si="1"/>
        <v/>
      </c>
      <c r="H37" s="684" t="str">
        <f t="shared" si="0"/>
        <v/>
      </c>
      <c r="I37" s="516"/>
      <c r="K37" s="513"/>
      <c r="L37" s="513"/>
      <c r="M37" s="518"/>
      <c r="N37" s="513"/>
      <c r="O37" s="513"/>
      <c r="P37" s="513"/>
    </row>
    <row r="38" spans="1:16" ht="16.5" thickBot="1" x14ac:dyDescent="0.3">
      <c r="A38" s="975"/>
      <c r="B38" s="516"/>
      <c r="C38" s="681"/>
      <c r="D38" s="685"/>
      <c r="E38" s="665"/>
      <c r="F38" s="665"/>
      <c r="G38" s="684" t="str">
        <f t="shared" si="1"/>
        <v/>
      </c>
      <c r="H38" s="684" t="str">
        <f t="shared" si="0"/>
        <v/>
      </c>
      <c r="I38" s="516"/>
      <c r="K38" s="513"/>
      <c r="L38" s="513"/>
      <c r="M38" s="518"/>
      <c r="N38" s="513"/>
      <c r="O38" s="513"/>
      <c r="P38" s="513"/>
    </row>
    <row r="39" spans="1:16" ht="16.5" thickBot="1" x14ac:dyDescent="0.3">
      <c r="A39" s="975"/>
      <c r="B39" s="516"/>
      <c r="C39" s="681"/>
      <c r="D39" s="685"/>
      <c r="E39" s="665"/>
      <c r="F39" s="665"/>
      <c r="G39" s="684" t="str">
        <f t="shared" si="1"/>
        <v/>
      </c>
      <c r="H39" s="684" t="str">
        <f t="shared" si="0"/>
        <v/>
      </c>
      <c r="I39" s="516"/>
      <c r="K39" s="513"/>
      <c r="L39" s="513"/>
      <c r="M39" s="518"/>
      <c r="N39" s="513"/>
      <c r="O39" s="513"/>
      <c r="P39" s="513"/>
    </row>
    <row r="40" spans="1:16" ht="16.5" thickBot="1" x14ac:dyDescent="0.3">
      <c r="A40" s="975"/>
      <c r="B40" s="516"/>
      <c r="C40" s="681"/>
      <c r="D40" s="685"/>
      <c r="E40" s="665"/>
      <c r="F40" s="665"/>
      <c r="G40" s="684" t="str">
        <f t="shared" si="1"/>
        <v/>
      </c>
      <c r="H40" s="684" t="str">
        <f t="shared" si="0"/>
        <v/>
      </c>
      <c r="I40" s="516"/>
      <c r="K40" s="513"/>
      <c r="L40" s="513"/>
      <c r="M40" s="518"/>
      <c r="N40" s="513"/>
      <c r="O40" s="513"/>
      <c r="P40" s="513"/>
    </row>
    <row r="41" spans="1:16" ht="16.5" thickBot="1" x14ac:dyDescent="0.3">
      <c r="A41" s="975"/>
      <c r="B41" s="516"/>
      <c r="C41" s="681"/>
      <c r="D41" s="685"/>
      <c r="E41" s="665"/>
      <c r="F41" s="665"/>
      <c r="G41" s="684" t="str">
        <f t="shared" si="1"/>
        <v/>
      </c>
      <c r="H41" s="684" t="str">
        <f t="shared" si="0"/>
        <v/>
      </c>
      <c r="I41" s="516"/>
      <c r="K41" s="513"/>
      <c r="L41" s="513"/>
      <c r="M41" s="518"/>
      <c r="N41" s="513"/>
      <c r="O41" s="513"/>
      <c r="P41" s="513"/>
    </row>
    <row r="42" spans="1:16" ht="16.5" thickBot="1" x14ac:dyDescent="0.3">
      <c r="A42" s="975"/>
      <c r="B42" s="516"/>
      <c r="C42" s="516"/>
      <c r="D42" s="516"/>
      <c r="E42" s="516"/>
      <c r="F42" s="516"/>
      <c r="G42" s="516"/>
      <c r="H42" s="686" t="str">
        <f>IF(VSK&lt;&gt;0, SUM(H22:H41),"")</f>
        <v/>
      </c>
      <c r="I42" s="516"/>
      <c r="K42" s="513"/>
      <c r="L42" s="513"/>
      <c r="M42" s="518"/>
      <c r="N42" s="513"/>
      <c r="O42" s="513"/>
      <c r="P42" s="513"/>
    </row>
    <row r="43" spans="1:16" ht="15.75" x14ac:dyDescent="0.25">
      <c r="A43" s="975"/>
      <c r="B43" s="475"/>
      <c r="C43" s="486"/>
      <c r="D43" s="487"/>
      <c r="E43" s="486"/>
      <c r="F43" s="488"/>
      <c r="G43" s="486"/>
      <c r="H43" s="488"/>
      <c r="I43" s="476"/>
      <c r="K43" s="513"/>
      <c r="L43" s="513"/>
      <c r="M43" s="518"/>
      <c r="N43" s="513"/>
      <c r="O43" s="513"/>
      <c r="P43" s="513"/>
    </row>
    <row r="44" spans="1:16" ht="15.75" x14ac:dyDescent="0.25">
      <c r="A44" s="975"/>
      <c r="B44" s="475"/>
      <c r="C44" s="476" t="s">
        <v>34</v>
      </c>
      <c r="D44" s="476"/>
      <c r="E44" s="489"/>
      <c r="F44" s="1030"/>
      <c r="G44" s="1031"/>
      <c r="H44" s="1032"/>
      <c r="I44" s="476"/>
      <c r="K44" s="513"/>
      <c r="L44" s="513"/>
      <c r="M44" s="513"/>
      <c r="N44" s="513"/>
      <c r="O44" s="513"/>
      <c r="P44" s="513"/>
    </row>
    <row r="45" spans="1:16" ht="15.75" x14ac:dyDescent="0.25">
      <c r="A45" s="975"/>
      <c r="B45" s="475"/>
      <c r="C45" s="476" t="s">
        <v>826</v>
      </c>
      <c r="D45" s="476"/>
      <c r="E45" s="732"/>
      <c r="F45" s="1000"/>
      <c r="G45" s="1043"/>
      <c r="H45" s="1001"/>
      <c r="I45" s="476"/>
    </row>
    <row r="46" spans="1:16" ht="15.75" x14ac:dyDescent="0.25">
      <c r="A46" s="975"/>
      <c r="B46" s="475"/>
      <c r="C46" s="476"/>
      <c r="D46" s="476"/>
      <c r="E46" s="491"/>
      <c r="F46" s="476"/>
      <c r="G46" s="475"/>
      <c r="H46" s="475"/>
      <c r="I46" s="474"/>
    </row>
    <row r="47" spans="1:16" ht="21" x14ac:dyDescent="0.35">
      <c r="A47" s="975"/>
      <c r="B47" s="474"/>
      <c r="C47" s="492" t="str">
        <f>IF(VSK=0, "UNVOLLSTÄNDIG AUSGEFÜLLT!","")</f>
        <v>UNVOLLSTÄNDIG AUSGEFÜLLT!</v>
      </c>
      <c r="D47" s="474"/>
      <c r="E47" s="673">
        <f>IF(SUM(H22:H41)&gt;0,1,0)</f>
        <v>0</v>
      </c>
      <c r="F47" s="474"/>
      <c r="G47" s="999" t="str">
        <f>IF(VSK&lt;&gt;0, G87,"")</f>
        <v/>
      </c>
      <c r="H47" s="999"/>
      <c r="I47" s="474"/>
      <c r="P47" s="513"/>
    </row>
    <row r="48" spans="1:16" ht="15.75" x14ac:dyDescent="0.25">
      <c r="A48" s="975"/>
      <c r="B48" s="474"/>
      <c r="C48" s="474"/>
      <c r="D48" s="474"/>
      <c r="E48" s="474"/>
      <c r="F48" s="474"/>
      <c r="G48" s="474"/>
      <c r="H48" s="474"/>
      <c r="I48" s="474"/>
    </row>
    <row r="49" spans="1:15" ht="15" customHeight="1" x14ac:dyDescent="0.25">
      <c r="A49" s="973" t="s">
        <v>72</v>
      </c>
    </row>
    <row r="50" spans="1:15" x14ac:dyDescent="0.25">
      <c r="A50" s="973"/>
      <c r="B50" s="974" t="str">
        <f>CONCATENATE(Gesamt!C2, ": ", Gesamt!E2)</f>
        <v xml:space="preserve">Projekt: </v>
      </c>
      <c r="C50" s="974"/>
      <c r="D50" s="974"/>
      <c r="E50" s="974"/>
      <c r="F50" s="974"/>
      <c r="G50" s="974"/>
      <c r="H50" s="974"/>
      <c r="I50" s="974"/>
    </row>
    <row r="51" spans="1:15" x14ac:dyDescent="0.25">
      <c r="A51" s="973"/>
      <c r="B51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51" s="969"/>
      <c r="D51" s="969"/>
      <c r="E51" s="969"/>
      <c r="F51" s="969"/>
      <c r="G51" s="969"/>
      <c r="H51" s="969"/>
      <c r="I51" s="969"/>
    </row>
    <row r="52" spans="1:15" x14ac:dyDescent="0.25">
      <c r="A52" s="973"/>
      <c r="B52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52" s="969"/>
      <c r="D52" s="969"/>
      <c r="E52" s="969"/>
      <c r="F52" s="969"/>
      <c r="G52" s="969"/>
      <c r="H52" s="969"/>
      <c r="I52" s="969"/>
    </row>
    <row r="53" spans="1:15" x14ac:dyDescent="0.25">
      <c r="A53" s="973"/>
      <c r="B53" s="969" t="s">
        <v>42</v>
      </c>
      <c r="C53" s="969"/>
      <c r="D53" s="969"/>
      <c r="E53" s="969"/>
      <c r="F53" s="969"/>
      <c r="G53" s="969"/>
      <c r="H53" s="969"/>
      <c r="I53" s="969"/>
    </row>
    <row r="54" spans="1:15" x14ac:dyDescent="0.25">
      <c r="A54" s="973"/>
    </row>
    <row r="55" spans="1:15" ht="18.75" x14ac:dyDescent="0.25">
      <c r="A55" s="973"/>
      <c r="B55" s="968" t="str">
        <f>C2</f>
        <v>REGIELEISTUNGEN</v>
      </c>
      <c r="C55" s="968"/>
      <c r="D55" s="968"/>
      <c r="E55" s="968"/>
      <c r="F55" s="968"/>
      <c r="G55" s="968"/>
      <c r="H55" s="968"/>
      <c r="I55" s="968"/>
    </row>
    <row r="56" spans="1:15" x14ac:dyDescent="0.25">
      <c r="A56" s="973"/>
    </row>
    <row r="57" spans="1:15" x14ac:dyDescent="0.25">
      <c r="A57" s="973"/>
      <c r="C57" s="425" t="s">
        <v>791</v>
      </c>
    </row>
    <row r="58" spans="1:15" x14ac:dyDescent="0.25">
      <c r="A58" s="973"/>
    </row>
    <row r="59" spans="1:15" x14ac:dyDescent="0.25">
      <c r="A59" s="973"/>
      <c r="C59" s="425" t="s">
        <v>46</v>
      </c>
      <c r="E59" s="367">
        <f>Gesamt!E14</f>
        <v>79.08</v>
      </c>
    </row>
    <row r="60" spans="1:15" x14ac:dyDescent="0.25">
      <c r="A60" s="973"/>
      <c r="C60" s="444"/>
    </row>
    <row r="61" spans="1:15" x14ac:dyDescent="0.25">
      <c r="A61" s="973"/>
      <c r="C61" s="678" t="s">
        <v>690</v>
      </c>
      <c r="D61" s="678" t="s">
        <v>691</v>
      </c>
      <c r="E61" s="679" t="s">
        <v>689</v>
      </c>
      <c r="F61" s="679" t="s">
        <v>694</v>
      </c>
      <c r="G61" s="679" t="s">
        <v>670</v>
      </c>
      <c r="H61" s="679" t="s">
        <v>688</v>
      </c>
    </row>
    <row r="62" spans="1:15" x14ac:dyDescent="0.25">
      <c r="A62" s="973"/>
      <c r="C62" s="682" t="str">
        <f>IF(C22&lt;&gt;"",C22,"")</f>
        <v/>
      </c>
      <c r="D62" s="676" t="str">
        <f t="shared" ref="D62:H62" si="2">IF(D22&lt;&gt;"",D22,"")</f>
        <v/>
      </c>
      <c r="E62" s="675" t="str">
        <f t="shared" si="2"/>
        <v/>
      </c>
      <c r="F62" s="675" t="str">
        <f t="shared" si="2"/>
        <v/>
      </c>
      <c r="G62" s="680" t="str">
        <f t="shared" si="2"/>
        <v/>
      </c>
      <c r="H62" s="677" t="str">
        <f t="shared" si="2"/>
        <v/>
      </c>
      <c r="K62" s="960" t="s">
        <v>700</v>
      </c>
      <c r="L62" s="1017"/>
      <c r="M62" s="1017"/>
      <c r="N62" s="1017"/>
      <c r="O62" s="1018"/>
    </row>
    <row r="63" spans="1:15" x14ac:dyDescent="0.25">
      <c r="A63" s="973"/>
      <c r="C63" s="682" t="str">
        <f t="shared" ref="C63:H63" si="3">IF(C23&lt;&gt;"",C23,"")</f>
        <v/>
      </c>
      <c r="D63" s="676" t="str">
        <f t="shared" si="3"/>
        <v/>
      </c>
      <c r="E63" s="675" t="str">
        <f t="shared" si="3"/>
        <v/>
      </c>
      <c r="F63" s="675" t="str">
        <f t="shared" si="3"/>
        <v/>
      </c>
      <c r="G63" s="680" t="str">
        <f t="shared" si="3"/>
        <v/>
      </c>
      <c r="H63" s="677" t="str">
        <f t="shared" si="3"/>
        <v/>
      </c>
      <c r="K63" s="1019"/>
      <c r="L63" s="1020"/>
      <c r="M63" s="1020"/>
      <c r="N63" s="1020"/>
      <c r="O63" s="1021"/>
    </row>
    <row r="64" spans="1:15" x14ac:dyDescent="0.25">
      <c r="A64" s="973"/>
      <c r="B64" s="437"/>
      <c r="C64" s="682" t="str">
        <f t="shared" ref="C64:H64" si="4">IF(C24&lt;&gt;"",C24,"")</f>
        <v/>
      </c>
      <c r="D64" s="676" t="str">
        <f t="shared" si="4"/>
        <v/>
      </c>
      <c r="E64" s="675" t="str">
        <f t="shared" si="4"/>
        <v/>
      </c>
      <c r="F64" s="675" t="str">
        <f t="shared" si="4"/>
        <v/>
      </c>
      <c r="G64" s="680" t="str">
        <f t="shared" si="4"/>
        <v/>
      </c>
      <c r="H64" s="677" t="str">
        <f t="shared" si="4"/>
        <v/>
      </c>
      <c r="K64" s="1019"/>
      <c r="L64" s="1020"/>
      <c r="M64" s="1020"/>
      <c r="N64" s="1020"/>
      <c r="O64" s="1021"/>
    </row>
    <row r="65" spans="1:15" x14ac:dyDescent="0.25">
      <c r="A65" s="973"/>
      <c r="B65" s="437"/>
      <c r="C65" s="682" t="str">
        <f t="shared" ref="C65:H65" si="5">IF(C25&lt;&gt;"",C25,"")</f>
        <v/>
      </c>
      <c r="D65" s="676" t="str">
        <f t="shared" si="5"/>
        <v/>
      </c>
      <c r="E65" s="675" t="str">
        <f t="shared" si="5"/>
        <v/>
      </c>
      <c r="F65" s="675" t="str">
        <f t="shared" si="5"/>
        <v/>
      </c>
      <c r="G65" s="680" t="str">
        <f t="shared" si="5"/>
        <v/>
      </c>
      <c r="H65" s="677" t="str">
        <f t="shared" si="5"/>
        <v/>
      </c>
      <c r="K65" s="1019"/>
      <c r="L65" s="1020"/>
      <c r="M65" s="1020"/>
      <c r="N65" s="1020"/>
      <c r="O65" s="1021"/>
    </row>
    <row r="66" spans="1:15" x14ac:dyDescent="0.25">
      <c r="A66" s="973"/>
      <c r="C66" s="682" t="str">
        <f t="shared" ref="C66:H66" si="6">IF(C26&lt;&gt;"",C26,"")</f>
        <v/>
      </c>
      <c r="D66" s="676" t="str">
        <f t="shared" si="6"/>
        <v/>
      </c>
      <c r="E66" s="675" t="str">
        <f t="shared" si="6"/>
        <v/>
      </c>
      <c r="F66" s="675" t="str">
        <f t="shared" si="6"/>
        <v/>
      </c>
      <c r="G66" s="680" t="str">
        <f t="shared" si="6"/>
        <v/>
      </c>
      <c r="H66" s="677" t="str">
        <f t="shared" si="6"/>
        <v/>
      </c>
      <c r="K66" s="1022"/>
      <c r="L66" s="1023"/>
      <c r="M66" s="1023"/>
      <c r="N66" s="1023"/>
      <c r="O66" s="1024"/>
    </row>
    <row r="67" spans="1:15" x14ac:dyDescent="0.25">
      <c r="A67" s="973"/>
      <c r="C67" s="682" t="str">
        <f t="shared" ref="C67:H67" si="7">IF(C27&lt;&gt;"",C27,"")</f>
        <v/>
      </c>
      <c r="D67" s="676" t="str">
        <f t="shared" si="7"/>
        <v/>
      </c>
      <c r="E67" s="675" t="str">
        <f t="shared" si="7"/>
        <v/>
      </c>
      <c r="F67" s="675" t="str">
        <f t="shared" si="7"/>
        <v/>
      </c>
      <c r="G67" s="680" t="str">
        <f t="shared" si="7"/>
        <v/>
      </c>
      <c r="H67" s="677" t="str">
        <f t="shared" si="7"/>
        <v/>
      </c>
    </row>
    <row r="68" spans="1:15" x14ac:dyDescent="0.25">
      <c r="A68" s="973"/>
      <c r="C68" s="682" t="str">
        <f t="shared" ref="C68:H68" si="8">IF(C28&lt;&gt;"",C28,"")</f>
        <v/>
      </c>
      <c r="D68" s="676" t="str">
        <f t="shared" si="8"/>
        <v/>
      </c>
      <c r="E68" s="675" t="str">
        <f t="shared" si="8"/>
        <v/>
      </c>
      <c r="F68" s="675" t="str">
        <f t="shared" si="8"/>
        <v/>
      </c>
      <c r="G68" s="680" t="str">
        <f t="shared" si="8"/>
        <v/>
      </c>
      <c r="H68" s="677" t="str">
        <f t="shared" si="8"/>
        <v/>
      </c>
    </row>
    <row r="69" spans="1:15" x14ac:dyDescent="0.25">
      <c r="A69" s="973"/>
      <c r="C69" s="682" t="str">
        <f t="shared" ref="C69:H69" si="9">IF(C29&lt;&gt;"",C29,"")</f>
        <v/>
      </c>
      <c r="D69" s="676" t="str">
        <f t="shared" si="9"/>
        <v/>
      </c>
      <c r="E69" s="675" t="str">
        <f t="shared" si="9"/>
        <v/>
      </c>
      <c r="F69" s="675" t="str">
        <f t="shared" si="9"/>
        <v/>
      </c>
      <c r="G69" s="680" t="str">
        <f t="shared" si="9"/>
        <v/>
      </c>
      <c r="H69" s="677" t="str">
        <f t="shared" si="9"/>
        <v/>
      </c>
    </row>
    <row r="70" spans="1:15" x14ac:dyDescent="0.25">
      <c r="A70" s="973"/>
      <c r="C70" s="682" t="str">
        <f t="shared" ref="C70:H70" si="10">IF(C30&lt;&gt;"",C30,"")</f>
        <v/>
      </c>
      <c r="D70" s="676" t="str">
        <f t="shared" si="10"/>
        <v/>
      </c>
      <c r="E70" s="675" t="str">
        <f t="shared" si="10"/>
        <v/>
      </c>
      <c r="F70" s="675" t="str">
        <f t="shared" si="10"/>
        <v/>
      </c>
      <c r="G70" s="680" t="str">
        <f t="shared" si="10"/>
        <v/>
      </c>
      <c r="H70" s="677" t="str">
        <f t="shared" si="10"/>
        <v/>
      </c>
    </row>
    <row r="71" spans="1:15" x14ac:dyDescent="0.25">
      <c r="A71" s="973"/>
      <c r="C71" s="682" t="str">
        <f t="shared" ref="C71:H71" si="11">IF(C31&lt;&gt;"",C31,"")</f>
        <v/>
      </c>
      <c r="D71" s="676" t="str">
        <f t="shared" si="11"/>
        <v/>
      </c>
      <c r="E71" s="675" t="str">
        <f t="shared" si="11"/>
        <v/>
      </c>
      <c r="F71" s="675" t="str">
        <f t="shared" si="11"/>
        <v/>
      </c>
      <c r="G71" s="680" t="str">
        <f t="shared" si="11"/>
        <v/>
      </c>
      <c r="H71" s="677" t="str">
        <f t="shared" si="11"/>
        <v/>
      </c>
    </row>
    <row r="72" spans="1:15" x14ac:dyDescent="0.25">
      <c r="A72" s="973"/>
      <c r="C72" s="682" t="str">
        <f t="shared" ref="C72:H72" si="12">IF(C32&lt;&gt;"",C32,"")</f>
        <v/>
      </c>
      <c r="D72" s="676" t="str">
        <f t="shared" si="12"/>
        <v/>
      </c>
      <c r="E72" s="675" t="str">
        <f t="shared" si="12"/>
        <v/>
      </c>
      <c r="F72" s="675" t="str">
        <f t="shared" si="12"/>
        <v/>
      </c>
      <c r="G72" s="680" t="str">
        <f t="shared" si="12"/>
        <v/>
      </c>
      <c r="H72" s="677" t="str">
        <f t="shared" si="12"/>
        <v/>
      </c>
    </row>
    <row r="73" spans="1:15" x14ac:dyDescent="0.25">
      <c r="A73" s="973"/>
      <c r="C73" s="682" t="str">
        <f t="shared" ref="C73:H73" si="13">IF(C33&lt;&gt;"",C33,"")</f>
        <v/>
      </c>
      <c r="D73" s="676" t="str">
        <f t="shared" si="13"/>
        <v/>
      </c>
      <c r="E73" s="675" t="str">
        <f t="shared" si="13"/>
        <v/>
      </c>
      <c r="F73" s="675" t="str">
        <f t="shared" si="13"/>
        <v/>
      </c>
      <c r="G73" s="680" t="str">
        <f t="shared" si="13"/>
        <v/>
      </c>
      <c r="H73" s="677" t="str">
        <f t="shared" si="13"/>
        <v/>
      </c>
    </row>
    <row r="74" spans="1:15" x14ac:dyDescent="0.25">
      <c r="A74" s="973"/>
      <c r="C74" s="682" t="str">
        <f t="shared" ref="C74:H74" si="14">IF(C34&lt;&gt;"",C34,"")</f>
        <v/>
      </c>
      <c r="D74" s="676" t="str">
        <f t="shared" si="14"/>
        <v/>
      </c>
      <c r="E74" s="675" t="str">
        <f t="shared" si="14"/>
        <v/>
      </c>
      <c r="F74" s="675" t="str">
        <f t="shared" si="14"/>
        <v/>
      </c>
      <c r="G74" s="680" t="str">
        <f t="shared" si="14"/>
        <v/>
      </c>
      <c r="H74" s="677" t="str">
        <f t="shared" si="14"/>
        <v/>
      </c>
    </row>
    <row r="75" spans="1:15" x14ac:dyDescent="0.25">
      <c r="A75" s="973"/>
      <c r="C75" s="682" t="str">
        <f t="shared" ref="C75:H75" si="15">IF(C35&lt;&gt;"",C35,"")</f>
        <v/>
      </c>
      <c r="D75" s="676" t="str">
        <f t="shared" si="15"/>
        <v/>
      </c>
      <c r="E75" s="675" t="str">
        <f t="shared" si="15"/>
        <v/>
      </c>
      <c r="F75" s="675" t="str">
        <f t="shared" si="15"/>
        <v/>
      </c>
      <c r="G75" s="680" t="str">
        <f t="shared" si="15"/>
        <v/>
      </c>
      <c r="H75" s="677" t="str">
        <f t="shared" si="15"/>
        <v/>
      </c>
    </row>
    <row r="76" spans="1:15" x14ac:dyDescent="0.25">
      <c r="A76" s="973"/>
      <c r="B76" s="428"/>
      <c r="C76" s="682" t="str">
        <f t="shared" ref="C76:H76" si="16">IF(C36&lt;&gt;"",C36,"")</f>
        <v/>
      </c>
      <c r="D76" s="676" t="str">
        <f t="shared" si="16"/>
        <v/>
      </c>
      <c r="E76" s="675" t="str">
        <f t="shared" si="16"/>
        <v/>
      </c>
      <c r="F76" s="675" t="str">
        <f t="shared" si="16"/>
        <v/>
      </c>
      <c r="G76" s="680" t="str">
        <f t="shared" si="16"/>
        <v/>
      </c>
      <c r="H76" s="677" t="str">
        <f t="shared" si="16"/>
        <v/>
      </c>
    </row>
    <row r="77" spans="1:15" x14ac:dyDescent="0.25">
      <c r="A77" s="973"/>
      <c r="C77" s="682" t="str">
        <f t="shared" ref="C77:H77" si="17">IF(C37&lt;&gt;"",C37,"")</f>
        <v/>
      </c>
      <c r="D77" s="676" t="str">
        <f t="shared" si="17"/>
        <v/>
      </c>
      <c r="E77" s="675" t="str">
        <f t="shared" si="17"/>
        <v/>
      </c>
      <c r="F77" s="675" t="str">
        <f t="shared" si="17"/>
        <v/>
      </c>
      <c r="G77" s="680" t="str">
        <f t="shared" si="17"/>
        <v/>
      </c>
      <c r="H77" s="677" t="str">
        <f t="shared" si="17"/>
        <v/>
      </c>
    </row>
    <row r="78" spans="1:15" x14ac:dyDescent="0.25">
      <c r="A78" s="973"/>
      <c r="C78" s="682" t="str">
        <f t="shared" ref="C78:H78" si="18">IF(C38&lt;&gt;"",C38,"")</f>
        <v/>
      </c>
      <c r="D78" s="676" t="str">
        <f t="shared" si="18"/>
        <v/>
      </c>
      <c r="E78" s="675" t="str">
        <f t="shared" si="18"/>
        <v/>
      </c>
      <c r="F78" s="675" t="str">
        <f t="shared" si="18"/>
        <v/>
      </c>
      <c r="G78" s="680" t="str">
        <f t="shared" si="18"/>
        <v/>
      </c>
      <c r="H78" s="677" t="str">
        <f t="shared" si="18"/>
        <v/>
      </c>
    </row>
    <row r="79" spans="1:15" x14ac:dyDescent="0.25">
      <c r="A79" s="973"/>
      <c r="C79" s="682" t="str">
        <f t="shared" ref="C79:H79" si="19">IF(C39&lt;&gt;"",C39,"")</f>
        <v/>
      </c>
      <c r="D79" s="676" t="str">
        <f t="shared" si="19"/>
        <v/>
      </c>
      <c r="E79" s="675" t="str">
        <f t="shared" si="19"/>
        <v/>
      </c>
      <c r="F79" s="675" t="str">
        <f t="shared" si="19"/>
        <v/>
      </c>
      <c r="G79" s="680" t="str">
        <f t="shared" si="19"/>
        <v/>
      </c>
      <c r="H79" s="677" t="str">
        <f t="shared" si="19"/>
        <v/>
      </c>
    </row>
    <row r="80" spans="1:15" x14ac:dyDescent="0.25">
      <c r="A80" s="973"/>
      <c r="C80" s="682" t="str">
        <f t="shared" ref="C80:H80" si="20">IF(C40&lt;&gt;"",C40,"")</f>
        <v/>
      </c>
      <c r="D80" s="676" t="str">
        <f t="shared" si="20"/>
        <v/>
      </c>
      <c r="E80" s="675" t="str">
        <f t="shared" si="20"/>
        <v/>
      </c>
      <c r="F80" s="675" t="str">
        <f t="shared" si="20"/>
        <v/>
      </c>
      <c r="G80" s="680" t="str">
        <f t="shared" si="20"/>
        <v/>
      </c>
      <c r="H80" s="677" t="str">
        <f t="shared" si="20"/>
        <v/>
      </c>
    </row>
    <row r="81" spans="1:9" x14ac:dyDescent="0.25">
      <c r="A81" s="973"/>
      <c r="C81" s="682" t="str">
        <f t="shared" ref="C81:H81" si="21">IF(C41&lt;&gt;"",C41,"")</f>
        <v/>
      </c>
      <c r="D81" s="674" t="str">
        <f t="shared" si="21"/>
        <v/>
      </c>
      <c r="E81" s="675" t="str">
        <f t="shared" si="21"/>
        <v/>
      </c>
      <c r="F81" s="675" t="str">
        <f t="shared" si="21"/>
        <v/>
      </c>
      <c r="G81" s="680" t="str">
        <f t="shared" si="21"/>
        <v/>
      </c>
      <c r="H81" s="677" t="str">
        <f t="shared" si="21"/>
        <v/>
      </c>
    </row>
    <row r="82" spans="1:9" x14ac:dyDescent="0.25">
      <c r="A82" s="973"/>
      <c r="C82" s="683"/>
      <c r="D82" s="683"/>
      <c r="E82" s="683"/>
      <c r="F82" s="683"/>
      <c r="G82" s="1040" t="str">
        <f>IF(VSK&lt;&gt;0, SUM(H62:H81),"")</f>
        <v/>
      </c>
      <c r="H82" s="1040"/>
    </row>
    <row r="83" spans="1:9" x14ac:dyDescent="0.25">
      <c r="A83" s="973"/>
    </row>
    <row r="84" spans="1:9" x14ac:dyDescent="0.25">
      <c r="A84" s="973"/>
      <c r="B84" s="428"/>
      <c r="C84" s="425" t="str">
        <f>IF(AND(ZuAbschlag&lt;&gt;0,VSK&lt;&gt;0),"Zu-/Abschlag:","")</f>
        <v/>
      </c>
      <c r="E84" s="444" t="str">
        <f>IF(AND(ZuAbschlag&lt;&gt;0,VSK&lt;&gt;0),ZuAbschlag,"")</f>
        <v/>
      </c>
      <c r="F84" s="733" t="str">
        <f>IF(AND(ZuAbschlag&lt;&gt;0,VSK&lt;&gt;0),G82*E84,"")</f>
        <v/>
      </c>
      <c r="G84" s="426" t="str">
        <f>IF(AND(ZuAbschlag&lt;&gt;0,VSK&lt;&gt;0,F44&lt;&gt;""),F44,"")</f>
        <v/>
      </c>
    </row>
    <row r="85" spans="1:9" ht="15.75" x14ac:dyDescent="0.25">
      <c r="A85" s="973"/>
      <c r="C85" s="425" t="str">
        <f>IF(AND(NK&lt;&gt;0,VSK&lt;&gt;0),"Nebenkosten:","")</f>
        <v/>
      </c>
      <c r="F85" s="733" t="str">
        <f>IF(AND(NK&lt;&gt;0,VSK&lt;&gt;0),NK,"")</f>
        <v/>
      </c>
      <c r="G85" s="426" t="str">
        <f>IF(AND(NK&lt;&gt;0,VSK&lt;&gt;0,F45&lt;&gt;""),F45,"")</f>
        <v/>
      </c>
      <c r="I85" s="445"/>
    </row>
    <row r="86" spans="1:9" x14ac:dyDescent="0.25">
      <c r="A86" s="973"/>
    </row>
    <row r="87" spans="1:9" ht="15.75" x14ac:dyDescent="0.25">
      <c r="A87" s="973"/>
      <c r="C87" s="445" t="s">
        <v>71</v>
      </c>
      <c r="D87" s="445"/>
      <c r="E87" s="445"/>
      <c r="F87" s="445"/>
      <c r="G87" s="1041">
        <f>IF(VSK&gt;0,SUM(F85,F84,G82),0)</f>
        <v>0</v>
      </c>
      <c r="H87" s="1042"/>
    </row>
    <row r="88" spans="1:9" x14ac:dyDescent="0.25">
      <c r="A88" s="973"/>
    </row>
    <row r="89" spans="1:9" x14ac:dyDescent="0.25">
      <c r="A89" s="973"/>
    </row>
    <row r="90" spans="1:9" x14ac:dyDescent="0.25">
      <c r="A90" s="973"/>
    </row>
  </sheetData>
  <mergeCells count="27">
    <mergeCell ref="K62:O66"/>
    <mergeCell ref="C2:H2"/>
    <mergeCell ref="G82:H82"/>
    <mergeCell ref="C14:F14"/>
    <mergeCell ref="C15:F15"/>
    <mergeCell ref="C16:F16"/>
    <mergeCell ref="C18:F18"/>
    <mergeCell ref="C9:F9"/>
    <mergeCell ref="C10:F10"/>
    <mergeCell ref="C11:F11"/>
    <mergeCell ref="C12:F12"/>
    <mergeCell ref="C13:F13"/>
    <mergeCell ref="C8:F8"/>
    <mergeCell ref="F44:H44"/>
    <mergeCell ref="F45:H45"/>
    <mergeCell ref="A49:A90"/>
    <mergeCell ref="B50:I50"/>
    <mergeCell ref="B51:I51"/>
    <mergeCell ref="B52:I52"/>
    <mergeCell ref="B53:I53"/>
    <mergeCell ref="B55:I55"/>
    <mergeCell ref="G87:H87"/>
    <mergeCell ref="A1:A48"/>
    <mergeCell ref="G47:H47"/>
    <mergeCell ref="C5:F5"/>
    <mergeCell ref="C6:F6"/>
    <mergeCell ref="C7:F7"/>
  </mergeCells>
  <dataValidations disablePrompts="1" count="3">
    <dataValidation type="list" showInputMessage="1" showErrorMessage="1" sqref="E22:E41">
      <formula1>$G$5:$G$18</formula1>
    </dataValidation>
    <dataValidation type="decimal" operator="greaterThan" showInputMessage="1" showErrorMessage="1" sqref="E44">
      <formula1>-1000</formula1>
    </dataValidation>
    <dataValidation type="decimal" operator="greaterThan" allowBlank="1" showInputMessage="1" showErrorMessage="1" sqref="E45">
      <formula1>-1000000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zoomScaleNormal="100" workbookViewId="0">
      <selection activeCell="C5" sqref="C5:G5"/>
    </sheetView>
  </sheetViews>
  <sheetFormatPr baseColWidth="10" defaultRowHeight="15" x14ac:dyDescent="0.25"/>
  <cols>
    <col min="1" max="1" width="4" style="425" customWidth="1"/>
    <col min="2" max="2" width="4.7109375" style="425" customWidth="1"/>
    <col min="3" max="3" width="5.7109375" style="425" customWidth="1"/>
    <col min="4" max="4" width="35.7109375" style="425" customWidth="1"/>
    <col min="5" max="7" width="8.42578125" style="425" customWidth="1"/>
    <col min="8" max="8" width="11.42578125" style="425" customWidth="1"/>
    <col min="9" max="9" width="4.28515625" style="425" customWidth="1"/>
    <col min="10" max="16384" width="11.42578125" style="425"/>
  </cols>
  <sheetData>
    <row r="1" spans="1:16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CELL("ZEILE",B34)</f>
        <v>34</v>
      </c>
    </row>
    <row r="2" spans="1:16" ht="23.25" x14ac:dyDescent="0.25">
      <c r="A2" s="975"/>
      <c r="B2" s="475"/>
      <c r="C2" s="995" t="s">
        <v>809</v>
      </c>
      <c r="D2" s="996"/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CELL("ZEILE",G64)</f>
        <v>64</v>
      </c>
    </row>
    <row r="3" spans="1:16" ht="15.75" x14ac:dyDescent="0.25">
      <c r="A3" s="975"/>
      <c r="B3" s="516"/>
      <c r="C3" s="516"/>
      <c r="D3" s="516"/>
      <c r="E3" s="516"/>
      <c r="F3" s="516"/>
      <c r="G3" s="516"/>
      <c r="H3" s="516"/>
      <c r="I3" s="516"/>
      <c r="K3" s="268" t="s">
        <v>794</v>
      </c>
      <c r="L3" s="236"/>
      <c r="M3" s="236"/>
      <c r="N3" s="268">
        <f>E26</f>
        <v>0</v>
      </c>
    </row>
    <row r="4" spans="1:16" ht="15.75" x14ac:dyDescent="0.25">
      <c r="A4" s="975"/>
      <c r="B4" s="516"/>
      <c r="C4" s="516" t="s">
        <v>1</v>
      </c>
      <c r="D4" s="516"/>
      <c r="E4" s="516"/>
      <c r="F4" s="516"/>
      <c r="G4" s="516"/>
      <c r="H4" s="516" t="s">
        <v>810</v>
      </c>
      <c r="I4" s="516"/>
      <c r="K4" s="513"/>
      <c r="L4" s="513"/>
      <c r="M4" s="518"/>
      <c r="N4" s="513"/>
      <c r="O4" s="513"/>
      <c r="P4" s="513"/>
    </row>
    <row r="5" spans="1:16" ht="15.75" x14ac:dyDescent="0.25">
      <c r="A5" s="975"/>
      <c r="B5" s="516"/>
      <c r="C5" s="1140"/>
      <c r="D5" s="1141"/>
      <c r="E5" s="1141"/>
      <c r="F5" s="1141"/>
      <c r="G5" s="1142"/>
      <c r="H5" s="732"/>
      <c r="I5" s="516"/>
      <c r="K5" s="513"/>
      <c r="L5" s="513"/>
      <c r="M5" s="518"/>
      <c r="N5" s="513"/>
      <c r="O5" s="513"/>
      <c r="P5" s="513"/>
    </row>
    <row r="6" spans="1:16" ht="15.75" x14ac:dyDescent="0.25">
      <c r="A6" s="975"/>
      <c r="B6" s="516"/>
      <c r="C6" s="1140"/>
      <c r="D6" s="1141"/>
      <c r="E6" s="1141"/>
      <c r="F6" s="1141"/>
      <c r="G6" s="1142"/>
      <c r="H6" s="732"/>
      <c r="I6" s="516"/>
      <c r="K6" s="513"/>
      <c r="L6" s="513"/>
      <c r="M6" s="518"/>
      <c r="N6" s="513"/>
      <c r="O6" s="513"/>
      <c r="P6" s="513"/>
    </row>
    <row r="7" spans="1:16" ht="15.75" x14ac:dyDescent="0.25">
      <c r="A7" s="975"/>
      <c r="B7" s="516"/>
      <c r="C7" s="1140"/>
      <c r="D7" s="1141"/>
      <c r="E7" s="1141"/>
      <c r="F7" s="1141"/>
      <c r="G7" s="1142"/>
      <c r="H7" s="732"/>
      <c r="I7" s="516"/>
      <c r="K7" s="513"/>
      <c r="L7" s="513"/>
      <c r="M7" s="518"/>
      <c r="N7" s="513"/>
      <c r="O7" s="513"/>
      <c r="P7" s="513"/>
    </row>
    <row r="8" spans="1:16" ht="15.75" x14ac:dyDescent="0.25">
      <c r="A8" s="975"/>
      <c r="B8" s="516"/>
      <c r="C8" s="1140"/>
      <c r="D8" s="1141"/>
      <c r="E8" s="1141"/>
      <c r="F8" s="1141"/>
      <c r="G8" s="1142"/>
      <c r="H8" s="732"/>
      <c r="I8" s="516"/>
      <c r="K8" s="513"/>
      <c r="L8" s="513"/>
      <c r="M8" s="518"/>
      <c r="N8" s="513"/>
      <c r="O8" s="513"/>
      <c r="P8" s="513"/>
    </row>
    <row r="9" spans="1:16" ht="15.75" x14ac:dyDescent="0.25">
      <c r="A9" s="975"/>
      <c r="B9" s="516"/>
      <c r="C9" s="1140"/>
      <c r="D9" s="1141"/>
      <c r="E9" s="1141"/>
      <c r="F9" s="1141"/>
      <c r="G9" s="1142"/>
      <c r="H9" s="732"/>
      <c r="I9" s="516"/>
      <c r="K9" s="513"/>
      <c r="L9" s="513"/>
      <c r="M9" s="518"/>
      <c r="N9" s="513"/>
      <c r="O9" s="513"/>
      <c r="P9" s="513"/>
    </row>
    <row r="10" spans="1:16" ht="15.75" x14ac:dyDescent="0.25">
      <c r="A10" s="975"/>
      <c r="B10" s="516"/>
      <c r="C10" s="1140"/>
      <c r="D10" s="1141"/>
      <c r="E10" s="1141"/>
      <c r="F10" s="1141"/>
      <c r="G10" s="1142"/>
      <c r="H10" s="732"/>
      <c r="I10" s="516"/>
      <c r="K10" s="513"/>
      <c r="L10" s="513"/>
      <c r="M10" s="518"/>
      <c r="N10" s="513"/>
      <c r="O10" s="513"/>
      <c r="P10" s="513"/>
    </row>
    <row r="11" spans="1:16" ht="15.75" x14ac:dyDescent="0.25">
      <c r="A11" s="975"/>
      <c r="B11" s="516"/>
      <c r="C11" s="1140"/>
      <c r="D11" s="1141"/>
      <c r="E11" s="1141"/>
      <c r="F11" s="1141"/>
      <c r="G11" s="1142"/>
      <c r="H11" s="732"/>
      <c r="I11" s="516"/>
      <c r="K11" s="513"/>
      <c r="L11" s="513"/>
      <c r="M11" s="518"/>
      <c r="N11" s="513"/>
      <c r="O11" s="513"/>
      <c r="P11" s="513"/>
    </row>
    <row r="12" spans="1:16" ht="15.75" x14ac:dyDescent="0.25">
      <c r="A12" s="975"/>
      <c r="B12" s="516"/>
      <c r="C12" s="1140"/>
      <c r="D12" s="1141"/>
      <c r="E12" s="1141"/>
      <c r="F12" s="1141"/>
      <c r="G12" s="1142"/>
      <c r="H12" s="732"/>
      <c r="I12" s="516"/>
      <c r="K12" s="513"/>
      <c r="L12" s="513"/>
      <c r="M12" s="518"/>
      <c r="N12" s="513"/>
      <c r="O12" s="513"/>
      <c r="P12" s="513"/>
    </row>
    <row r="13" spans="1:16" ht="15.75" x14ac:dyDescent="0.25">
      <c r="A13" s="975"/>
      <c r="B13" s="516"/>
      <c r="C13" s="1140"/>
      <c r="D13" s="1141"/>
      <c r="E13" s="1141"/>
      <c r="F13" s="1141"/>
      <c r="G13" s="1142"/>
      <c r="H13" s="732"/>
      <c r="I13" s="516"/>
      <c r="K13" s="513"/>
      <c r="L13" s="513"/>
      <c r="M13" s="518"/>
      <c r="N13" s="513"/>
      <c r="O13" s="513"/>
      <c r="P13" s="513"/>
    </row>
    <row r="14" spans="1:16" ht="15.75" x14ac:dyDescent="0.25">
      <c r="A14" s="975"/>
      <c r="B14" s="516"/>
      <c r="C14" s="1140"/>
      <c r="D14" s="1141"/>
      <c r="E14" s="1141"/>
      <c r="F14" s="1141"/>
      <c r="G14" s="1142"/>
      <c r="H14" s="732"/>
      <c r="I14" s="516"/>
      <c r="K14" s="513"/>
      <c r="L14" s="513"/>
      <c r="M14" s="518"/>
      <c r="N14" s="513"/>
      <c r="O14" s="513"/>
      <c r="P14" s="513"/>
    </row>
    <row r="15" spans="1:16" ht="15.75" x14ac:dyDescent="0.25">
      <c r="A15" s="975"/>
      <c r="B15" s="516"/>
      <c r="C15" s="1140"/>
      <c r="D15" s="1141"/>
      <c r="E15" s="1141"/>
      <c r="F15" s="1141"/>
      <c r="G15" s="1142"/>
      <c r="H15" s="732"/>
      <c r="I15" s="516"/>
      <c r="K15" s="513"/>
      <c r="L15" s="513"/>
      <c r="M15" s="518"/>
      <c r="N15" s="513"/>
      <c r="O15" s="513"/>
      <c r="P15" s="513"/>
    </row>
    <row r="16" spans="1:16" ht="15.75" x14ac:dyDescent="0.25">
      <c r="A16" s="975"/>
      <c r="B16" s="516"/>
      <c r="C16" s="1140"/>
      <c r="D16" s="1141"/>
      <c r="E16" s="1141"/>
      <c r="F16" s="1141"/>
      <c r="G16" s="1142"/>
      <c r="H16" s="732"/>
      <c r="I16" s="516"/>
      <c r="K16" s="513"/>
      <c r="L16" s="513"/>
      <c r="M16" s="518"/>
      <c r="N16" s="513"/>
      <c r="O16" s="513"/>
      <c r="P16" s="513"/>
    </row>
    <row r="17" spans="1:16" ht="15.75" x14ac:dyDescent="0.25">
      <c r="A17" s="975"/>
      <c r="B17" s="516"/>
      <c r="C17" s="1140"/>
      <c r="D17" s="1141"/>
      <c r="E17" s="1141"/>
      <c r="F17" s="1141"/>
      <c r="G17" s="1142"/>
      <c r="H17" s="732"/>
      <c r="I17" s="516"/>
      <c r="K17" s="513"/>
      <c r="L17" s="513"/>
      <c r="M17" s="518"/>
      <c r="N17" s="513"/>
      <c r="O17" s="513"/>
      <c r="P17" s="513"/>
    </row>
    <row r="18" spans="1:16" ht="15.75" x14ac:dyDescent="0.25">
      <c r="A18" s="975"/>
      <c r="B18" s="516"/>
      <c r="C18" s="1140"/>
      <c r="D18" s="1141"/>
      <c r="E18" s="1141"/>
      <c r="F18" s="1141"/>
      <c r="G18" s="1142"/>
      <c r="H18" s="732"/>
      <c r="I18" s="516"/>
      <c r="K18" s="513"/>
      <c r="L18" s="513"/>
      <c r="M18" s="518"/>
      <c r="N18" s="513"/>
      <c r="O18" s="513"/>
      <c r="P18" s="513"/>
    </row>
    <row r="19" spans="1:16" ht="15.75" x14ac:dyDescent="0.25">
      <c r="A19" s="975"/>
      <c r="B19" s="516"/>
      <c r="C19" s="1140"/>
      <c r="D19" s="1141"/>
      <c r="E19" s="1141"/>
      <c r="F19" s="1141"/>
      <c r="G19" s="1142"/>
      <c r="H19" s="732"/>
      <c r="I19" s="516"/>
      <c r="K19" s="513"/>
      <c r="L19" s="513"/>
      <c r="M19" s="518"/>
      <c r="N19" s="513"/>
      <c r="O19" s="513"/>
      <c r="P19" s="513"/>
    </row>
    <row r="20" spans="1:16" ht="15.75" x14ac:dyDescent="0.25">
      <c r="A20" s="975"/>
      <c r="B20" s="516"/>
      <c r="C20" s="1140"/>
      <c r="D20" s="1141"/>
      <c r="E20" s="1141"/>
      <c r="F20" s="1141"/>
      <c r="G20" s="1142"/>
      <c r="H20" s="732"/>
      <c r="I20" s="516"/>
      <c r="K20" s="513"/>
      <c r="L20" s="513"/>
      <c r="M20" s="518"/>
      <c r="N20" s="513"/>
      <c r="O20" s="513"/>
      <c r="P20" s="513"/>
    </row>
    <row r="21" spans="1:16" ht="15.75" x14ac:dyDescent="0.25">
      <c r="A21" s="975"/>
      <c r="B21" s="516"/>
      <c r="C21" s="1140"/>
      <c r="D21" s="1141"/>
      <c r="E21" s="1141"/>
      <c r="F21" s="1141"/>
      <c r="G21" s="1142"/>
      <c r="H21" s="732"/>
      <c r="I21" s="516"/>
      <c r="K21" s="513"/>
      <c r="L21" s="513"/>
      <c r="M21" s="518"/>
      <c r="N21" s="513"/>
      <c r="O21" s="513"/>
      <c r="P21" s="513"/>
    </row>
    <row r="22" spans="1:16" ht="15.75" x14ac:dyDescent="0.25">
      <c r="A22" s="975"/>
      <c r="B22" s="516"/>
      <c r="C22" s="1140"/>
      <c r="D22" s="1141"/>
      <c r="E22" s="1141"/>
      <c r="F22" s="1141"/>
      <c r="G22" s="1142"/>
      <c r="H22" s="732"/>
      <c r="I22" s="516"/>
      <c r="K22" s="513"/>
      <c r="L22" s="513"/>
      <c r="M22" s="518"/>
      <c r="N22" s="513"/>
      <c r="O22" s="513"/>
      <c r="P22" s="513"/>
    </row>
    <row r="23" spans="1:16" ht="15.75" x14ac:dyDescent="0.25">
      <c r="A23" s="975"/>
      <c r="B23" s="516"/>
      <c r="C23" s="1140"/>
      <c r="D23" s="1141"/>
      <c r="E23" s="1141"/>
      <c r="F23" s="1141"/>
      <c r="G23" s="1142"/>
      <c r="H23" s="732"/>
      <c r="I23" s="516"/>
      <c r="K23" s="513"/>
      <c r="L23" s="513"/>
      <c r="M23" s="518"/>
      <c r="N23" s="513"/>
      <c r="O23" s="513"/>
      <c r="P23" s="513"/>
    </row>
    <row r="24" spans="1:16" ht="15.75" x14ac:dyDescent="0.25">
      <c r="A24" s="975"/>
      <c r="B24" s="516"/>
      <c r="C24" s="1140"/>
      <c r="D24" s="1141"/>
      <c r="E24" s="1141"/>
      <c r="F24" s="1141"/>
      <c r="G24" s="1142"/>
      <c r="H24" s="732"/>
      <c r="I24" s="516"/>
      <c r="K24" s="513"/>
      <c r="L24" s="513"/>
      <c r="M24" s="518"/>
      <c r="N24" s="513"/>
      <c r="O24" s="513"/>
      <c r="P24" s="513"/>
    </row>
    <row r="25" spans="1:16" ht="15.75" x14ac:dyDescent="0.25">
      <c r="A25" s="975"/>
      <c r="B25" s="475"/>
      <c r="C25" s="476"/>
      <c r="D25" s="476"/>
      <c r="E25" s="491"/>
      <c r="F25" s="476"/>
      <c r="G25" s="475"/>
      <c r="H25" s="475"/>
      <c r="I25" s="474"/>
    </row>
    <row r="26" spans="1:16" ht="21" x14ac:dyDescent="0.35">
      <c r="A26" s="975"/>
      <c r="B26" s="474"/>
      <c r="C26" s="492" t="str">
        <f>IF(VSK=0, "UNVOLLSTÄNDIG AUSGEFÜLLT!","")</f>
        <v>UNVOLLSTÄNDIG AUSGEFÜLLT!</v>
      </c>
      <c r="D26" s="474"/>
      <c r="E26" s="673">
        <f>IF(SUM(H5:H24)&gt;0,1,0)</f>
        <v>0</v>
      </c>
      <c r="F26" s="474"/>
      <c r="G26" s="999" t="str">
        <f>IF(VSK&lt;&gt;0, G64,"")</f>
        <v/>
      </c>
      <c r="H26" s="999"/>
      <c r="I26" s="474"/>
      <c r="P26" s="513"/>
    </row>
    <row r="27" spans="1:16" ht="15.75" x14ac:dyDescent="0.25">
      <c r="A27" s="975"/>
      <c r="B27" s="474"/>
      <c r="C27" s="474"/>
      <c r="D27" s="474"/>
      <c r="E27" s="474"/>
      <c r="F27" s="474"/>
      <c r="G27" s="474"/>
      <c r="H27" s="474"/>
      <c r="I27" s="474"/>
    </row>
    <row r="28" spans="1:16" ht="15" customHeight="1" x14ac:dyDescent="0.25">
      <c r="A28" s="973" t="s">
        <v>72</v>
      </c>
    </row>
    <row r="29" spans="1:16" x14ac:dyDescent="0.25">
      <c r="A29" s="973"/>
      <c r="B29" s="974" t="str">
        <f>CONCATENATE(Gesamt!C2, ": ", Gesamt!E2)</f>
        <v xml:space="preserve">Projekt: </v>
      </c>
      <c r="C29" s="974"/>
      <c r="D29" s="974"/>
      <c r="E29" s="974"/>
      <c r="F29" s="974"/>
      <c r="G29" s="974"/>
      <c r="H29" s="974"/>
      <c r="I29" s="974"/>
    </row>
    <row r="30" spans="1:16" x14ac:dyDescent="0.25">
      <c r="A30" s="973"/>
      <c r="B30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30" s="969"/>
      <c r="D30" s="969"/>
      <c r="E30" s="969"/>
      <c r="F30" s="969"/>
      <c r="G30" s="969"/>
      <c r="H30" s="969"/>
      <c r="I30" s="969"/>
    </row>
    <row r="31" spans="1:16" x14ac:dyDescent="0.25">
      <c r="A31" s="973"/>
      <c r="B31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31" s="969"/>
      <c r="D31" s="969"/>
      <c r="E31" s="969"/>
      <c r="F31" s="969"/>
      <c r="G31" s="969"/>
      <c r="H31" s="969"/>
      <c r="I31" s="969"/>
    </row>
    <row r="32" spans="1:16" x14ac:dyDescent="0.25">
      <c r="A32" s="973"/>
      <c r="B32" s="969" t="s">
        <v>42</v>
      </c>
      <c r="C32" s="969"/>
      <c r="D32" s="969"/>
      <c r="E32" s="969"/>
      <c r="F32" s="969"/>
      <c r="G32" s="969"/>
      <c r="H32" s="969"/>
      <c r="I32" s="969"/>
    </row>
    <row r="33" spans="1:15" x14ac:dyDescent="0.25">
      <c r="A33" s="973"/>
    </row>
    <row r="34" spans="1:15" ht="18.75" x14ac:dyDescent="0.25">
      <c r="A34" s="973"/>
      <c r="B34" s="968" t="str">
        <f>C2</f>
        <v>NEBENKOSTEN</v>
      </c>
      <c r="C34" s="968"/>
      <c r="D34" s="968"/>
      <c r="E34" s="968"/>
      <c r="F34" s="968"/>
      <c r="G34" s="968"/>
      <c r="H34" s="968"/>
      <c r="I34" s="968"/>
    </row>
    <row r="35" spans="1:15" x14ac:dyDescent="0.25">
      <c r="A35" s="973"/>
    </row>
    <row r="36" spans="1:15" x14ac:dyDescent="0.25">
      <c r="A36" s="973"/>
      <c r="C36" s="425" t="s">
        <v>811</v>
      </c>
    </row>
    <row r="37" spans="1:15" x14ac:dyDescent="0.25">
      <c r="A37" s="973"/>
    </row>
    <row r="38" spans="1:15" x14ac:dyDescent="0.25">
      <c r="A38" s="973"/>
      <c r="C38" s="425" t="s">
        <v>46</v>
      </c>
      <c r="E38" s="367">
        <f>Gesamt!E14</f>
        <v>79.08</v>
      </c>
    </row>
    <row r="39" spans="1:15" x14ac:dyDescent="0.25">
      <c r="A39" s="973"/>
      <c r="C39" s="444"/>
    </row>
    <row r="40" spans="1:15" x14ac:dyDescent="0.25">
      <c r="A40" s="973"/>
      <c r="C40" s="678" t="s">
        <v>1</v>
      </c>
      <c r="D40" s="678"/>
      <c r="E40" s="679"/>
      <c r="F40" s="679"/>
      <c r="G40" s="679"/>
      <c r="H40" s="679" t="s">
        <v>688</v>
      </c>
    </row>
    <row r="41" spans="1:15" x14ac:dyDescent="0.25">
      <c r="A41" s="973"/>
      <c r="C41" s="682" t="str">
        <f>IF(C5&lt;&gt;"",C5,"")</f>
        <v/>
      </c>
      <c r="D41" s="676"/>
      <c r="E41" s="675"/>
      <c r="F41" s="675"/>
      <c r="G41" s="680"/>
      <c r="H41" s="677" t="str">
        <f>IF(H5&lt;&gt;"",H5,"")</f>
        <v/>
      </c>
      <c r="K41" s="960" t="s">
        <v>700</v>
      </c>
      <c r="L41" s="1017"/>
      <c r="M41" s="1017"/>
      <c r="N41" s="1017"/>
      <c r="O41" s="1018"/>
    </row>
    <row r="42" spans="1:15" x14ac:dyDescent="0.25">
      <c r="A42" s="973"/>
      <c r="C42" s="682" t="str">
        <f t="shared" ref="C42:C60" si="0">IF(C6&lt;&gt;"",C6,"")</f>
        <v/>
      </c>
      <c r="D42" s="676"/>
      <c r="E42" s="675"/>
      <c r="F42" s="675"/>
      <c r="G42" s="680"/>
      <c r="H42" s="677" t="str">
        <f t="shared" ref="H42:H59" si="1">IF(H6&lt;&gt;"",H6,"")</f>
        <v/>
      </c>
      <c r="K42" s="1019"/>
      <c r="L42" s="1020"/>
      <c r="M42" s="1020"/>
      <c r="N42" s="1020"/>
      <c r="O42" s="1021"/>
    </row>
    <row r="43" spans="1:15" x14ac:dyDescent="0.25">
      <c r="A43" s="973"/>
      <c r="B43" s="437"/>
      <c r="C43" s="682" t="str">
        <f t="shared" si="0"/>
        <v/>
      </c>
      <c r="D43" s="676"/>
      <c r="E43" s="675"/>
      <c r="F43" s="675"/>
      <c r="G43" s="680"/>
      <c r="H43" s="677" t="str">
        <f t="shared" si="1"/>
        <v/>
      </c>
      <c r="K43" s="1019"/>
      <c r="L43" s="1020"/>
      <c r="M43" s="1020"/>
      <c r="N43" s="1020"/>
      <c r="O43" s="1021"/>
    </row>
    <row r="44" spans="1:15" x14ac:dyDescent="0.25">
      <c r="A44" s="973"/>
      <c r="B44" s="437"/>
      <c r="C44" s="682" t="str">
        <f t="shared" si="0"/>
        <v/>
      </c>
      <c r="D44" s="676"/>
      <c r="E44" s="675"/>
      <c r="F44" s="675"/>
      <c r="G44" s="680"/>
      <c r="H44" s="677" t="str">
        <f t="shared" si="1"/>
        <v/>
      </c>
      <c r="K44" s="1019"/>
      <c r="L44" s="1020"/>
      <c r="M44" s="1020"/>
      <c r="N44" s="1020"/>
      <c r="O44" s="1021"/>
    </row>
    <row r="45" spans="1:15" x14ac:dyDescent="0.25">
      <c r="A45" s="973"/>
      <c r="C45" s="682" t="str">
        <f t="shared" si="0"/>
        <v/>
      </c>
      <c r="D45" s="676"/>
      <c r="E45" s="675"/>
      <c r="F45" s="675"/>
      <c r="G45" s="680"/>
      <c r="H45" s="677" t="str">
        <f t="shared" si="1"/>
        <v/>
      </c>
      <c r="K45" s="1022"/>
      <c r="L45" s="1023"/>
      <c r="M45" s="1023"/>
      <c r="N45" s="1023"/>
      <c r="O45" s="1024"/>
    </row>
    <row r="46" spans="1:15" x14ac:dyDescent="0.25">
      <c r="A46" s="973"/>
      <c r="C46" s="682" t="str">
        <f t="shared" si="0"/>
        <v/>
      </c>
      <c r="D46" s="676"/>
      <c r="E46" s="675"/>
      <c r="F46" s="675"/>
      <c r="G46" s="680"/>
      <c r="H46" s="677" t="str">
        <f t="shared" si="1"/>
        <v/>
      </c>
    </row>
    <row r="47" spans="1:15" x14ac:dyDescent="0.25">
      <c r="A47" s="973"/>
      <c r="C47" s="682" t="str">
        <f t="shared" si="0"/>
        <v/>
      </c>
      <c r="D47" s="676"/>
      <c r="E47" s="675"/>
      <c r="F47" s="675"/>
      <c r="G47" s="680"/>
      <c r="H47" s="677" t="str">
        <f t="shared" si="1"/>
        <v/>
      </c>
    </row>
    <row r="48" spans="1:15" x14ac:dyDescent="0.25">
      <c r="A48" s="973"/>
      <c r="C48" s="682" t="str">
        <f t="shared" si="0"/>
        <v/>
      </c>
      <c r="D48" s="676"/>
      <c r="E48" s="675"/>
      <c r="F48" s="675"/>
      <c r="G48" s="680"/>
      <c r="H48" s="677" t="str">
        <f t="shared" si="1"/>
        <v/>
      </c>
    </row>
    <row r="49" spans="1:8" x14ac:dyDescent="0.25">
      <c r="A49" s="973"/>
      <c r="C49" s="682" t="str">
        <f t="shared" si="0"/>
        <v/>
      </c>
      <c r="D49" s="676"/>
      <c r="E49" s="675"/>
      <c r="F49" s="675"/>
      <c r="G49" s="680"/>
      <c r="H49" s="677" t="str">
        <f t="shared" si="1"/>
        <v/>
      </c>
    </row>
    <row r="50" spans="1:8" x14ac:dyDescent="0.25">
      <c r="A50" s="973"/>
      <c r="C50" s="682" t="str">
        <f t="shared" si="0"/>
        <v/>
      </c>
      <c r="D50" s="676"/>
      <c r="E50" s="675"/>
      <c r="F50" s="675"/>
      <c r="G50" s="680"/>
      <c r="H50" s="677" t="str">
        <f t="shared" si="1"/>
        <v/>
      </c>
    </row>
    <row r="51" spans="1:8" x14ac:dyDescent="0.25">
      <c r="A51" s="973"/>
      <c r="C51" s="682" t="str">
        <f t="shared" si="0"/>
        <v/>
      </c>
      <c r="D51" s="676"/>
      <c r="E51" s="675"/>
      <c r="F51" s="675"/>
      <c r="G51" s="680"/>
      <c r="H51" s="677" t="str">
        <f t="shared" si="1"/>
        <v/>
      </c>
    </row>
    <row r="52" spans="1:8" x14ac:dyDescent="0.25">
      <c r="A52" s="973"/>
      <c r="C52" s="682" t="str">
        <f t="shared" si="0"/>
        <v/>
      </c>
      <c r="D52" s="676"/>
      <c r="E52" s="675"/>
      <c r="F52" s="675"/>
      <c r="G52" s="680"/>
      <c r="H52" s="677" t="str">
        <f t="shared" si="1"/>
        <v/>
      </c>
    </row>
    <row r="53" spans="1:8" x14ac:dyDescent="0.25">
      <c r="A53" s="973"/>
      <c r="C53" s="682" t="str">
        <f t="shared" si="0"/>
        <v/>
      </c>
      <c r="D53" s="676"/>
      <c r="E53" s="675"/>
      <c r="F53" s="675"/>
      <c r="G53" s="680"/>
      <c r="H53" s="677" t="str">
        <f t="shared" si="1"/>
        <v/>
      </c>
    </row>
    <row r="54" spans="1:8" x14ac:dyDescent="0.25">
      <c r="A54" s="973"/>
      <c r="C54" s="682" t="str">
        <f t="shared" si="0"/>
        <v/>
      </c>
      <c r="D54" s="676"/>
      <c r="E54" s="675"/>
      <c r="F54" s="675"/>
      <c r="G54" s="680"/>
      <c r="H54" s="677" t="str">
        <f t="shared" si="1"/>
        <v/>
      </c>
    </row>
    <row r="55" spans="1:8" x14ac:dyDescent="0.25">
      <c r="A55" s="973"/>
      <c r="B55" s="428"/>
      <c r="C55" s="682" t="str">
        <f t="shared" si="0"/>
        <v/>
      </c>
      <c r="D55" s="676"/>
      <c r="E55" s="675"/>
      <c r="F55" s="675"/>
      <c r="G55" s="680"/>
      <c r="H55" s="677" t="str">
        <f t="shared" si="1"/>
        <v/>
      </c>
    </row>
    <row r="56" spans="1:8" x14ac:dyDescent="0.25">
      <c r="A56" s="973"/>
      <c r="C56" s="682" t="str">
        <f t="shared" si="0"/>
        <v/>
      </c>
      <c r="D56" s="676"/>
      <c r="E56" s="675"/>
      <c r="F56" s="675"/>
      <c r="G56" s="680"/>
      <c r="H56" s="677" t="str">
        <f t="shared" si="1"/>
        <v/>
      </c>
    </row>
    <row r="57" spans="1:8" x14ac:dyDescent="0.25">
      <c r="A57" s="973"/>
      <c r="C57" s="682" t="str">
        <f t="shared" si="0"/>
        <v/>
      </c>
      <c r="D57" s="676"/>
      <c r="E57" s="675"/>
      <c r="F57" s="675"/>
      <c r="G57" s="680"/>
      <c r="H57" s="677" t="str">
        <f t="shared" si="1"/>
        <v/>
      </c>
    </row>
    <row r="58" spans="1:8" x14ac:dyDescent="0.25">
      <c r="A58" s="973"/>
      <c r="C58" s="682" t="str">
        <f t="shared" si="0"/>
        <v/>
      </c>
      <c r="D58" s="676"/>
      <c r="E58" s="675"/>
      <c r="F58" s="675"/>
      <c r="G58" s="680"/>
      <c r="H58" s="677" t="str">
        <f t="shared" si="1"/>
        <v/>
      </c>
    </row>
    <row r="59" spans="1:8" x14ac:dyDescent="0.25">
      <c r="A59" s="973"/>
      <c r="C59" s="682" t="str">
        <f t="shared" si="0"/>
        <v/>
      </c>
      <c r="D59" s="676"/>
      <c r="E59" s="675"/>
      <c r="F59" s="675"/>
      <c r="G59" s="680"/>
      <c r="H59" s="677" t="str">
        <f t="shared" si="1"/>
        <v/>
      </c>
    </row>
    <row r="60" spans="1:8" x14ac:dyDescent="0.25">
      <c r="A60" s="973"/>
      <c r="C60" s="682" t="str">
        <f t="shared" si="0"/>
        <v/>
      </c>
      <c r="D60" s="674"/>
      <c r="E60" s="675"/>
      <c r="F60" s="675"/>
      <c r="G60" s="680"/>
      <c r="H60" s="677" t="str">
        <f>IF(H24&lt;&gt;"",H24,"")</f>
        <v/>
      </c>
    </row>
    <row r="61" spans="1:8" x14ac:dyDescent="0.25">
      <c r="A61" s="973"/>
      <c r="C61" s="683"/>
      <c r="D61" s="683"/>
      <c r="E61" s="683"/>
      <c r="F61" s="683"/>
      <c r="G61" s="1040" t="str">
        <f>IF(VSK&lt;&gt;0, SUM(H41:H60),"")</f>
        <v/>
      </c>
      <c r="H61" s="1040"/>
    </row>
    <row r="62" spans="1:8" x14ac:dyDescent="0.25">
      <c r="A62" s="973"/>
    </row>
    <row r="63" spans="1:8" x14ac:dyDescent="0.25">
      <c r="A63" s="973"/>
    </row>
    <row r="64" spans="1:8" ht="15.75" x14ac:dyDescent="0.25">
      <c r="A64" s="973"/>
      <c r="C64" s="445" t="s">
        <v>71</v>
      </c>
      <c r="D64" s="445"/>
      <c r="E64" s="445"/>
      <c r="F64" s="445"/>
      <c r="G64" s="1041">
        <f>IF(VSK&gt;0,SUM(G61),0)</f>
        <v>0</v>
      </c>
      <c r="H64" s="1042"/>
    </row>
    <row r="65" spans="1:1" x14ac:dyDescent="0.25">
      <c r="A65" s="973"/>
    </row>
    <row r="66" spans="1:1" x14ac:dyDescent="0.25">
      <c r="A66" s="973"/>
    </row>
    <row r="67" spans="1:1" x14ac:dyDescent="0.25">
      <c r="A67" s="973"/>
    </row>
  </sheetData>
  <mergeCells count="32">
    <mergeCell ref="A1:A27"/>
    <mergeCell ref="C2:H2"/>
    <mergeCell ref="A28:A67"/>
    <mergeCell ref="B29:I29"/>
    <mergeCell ref="B30:I30"/>
    <mergeCell ref="B31:I31"/>
    <mergeCell ref="B32:I32"/>
    <mergeCell ref="B34:I34"/>
    <mergeCell ref="C17:G17"/>
    <mergeCell ref="C18:G18"/>
    <mergeCell ref="C19:G19"/>
    <mergeCell ref="C20:G20"/>
    <mergeCell ref="C21:G21"/>
    <mergeCell ref="C22:G22"/>
    <mergeCell ref="C23:G23"/>
    <mergeCell ref="C24:G24"/>
    <mergeCell ref="K41:O45"/>
    <mergeCell ref="G61:H61"/>
    <mergeCell ref="G64:H64"/>
    <mergeCell ref="C5:G5"/>
    <mergeCell ref="C6:G6"/>
    <mergeCell ref="C7:G7"/>
    <mergeCell ref="C8:G8"/>
    <mergeCell ref="C9:G9"/>
    <mergeCell ref="C10:G10"/>
    <mergeCell ref="G26:H26"/>
    <mergeCell ref="C11:G11"/>
    <mergeCell ref="C12:G12"/>
    <mergeCell ref="C13:G13"/>
    <mergeCell ref="C14:G14"/>
    <mergeCell ref="C15:G15"/>
    <mergeCell ref="C16:G16"/>
  </mergeCells>
  <dataValidations disablePrompts="1" count="1">
    <dataValidation type="decimal" operator="greaterThan" showInputMessage="1" showErrorMessage="1" sqref="H5:H24">
      <formula1>-1000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zoomScaleNormal="100" workbookViewId="0">
      <selection activeCell="R30" sqref="R30"/>
    </sheetView>
  </sheetViews>
  <sheetFormatPr baseColWidth="10" defaultRowHeight="15" x14ac:dyDescent="0.25"/>
  <cols>
    <col min="1" max="1" width="4" style="425" customWidth="1"/>
    <col min="2" max="2" width="4.7109375" style="425" customWidth="1"/>
    <col min="3" max="3" width="5.7109375" style="425" customWidth="1"/>
    <col min="4" max="4" width="35.7109375" style="425" customWidth="1"/>
    <col min="5" max="7" width="8.42578125" style="425" customWidth="1"/>
    <col min="8" max="8" width="11.42578125" style="425" customWidth="1"/>
    <col min="9" max="9" width="4.28515625" style="425" customWidth="1"/>
    <col min="10" max="16384" width="11.42578125" style="425"/>
  </cols>
  <sheetData>
    <row r="1" spans="1:21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CELL("ZEILE",B56)</f>
        <v>56</v>
      </c>
    </row>
    <row r="2" spans="1:21" ht="23.25" x14ac:dyDescent="0.25">
      <c r="A2" s="975"/>
      <c r="B2" s="475"/>
      <c r="C2" s="995" t="s">
        <v>36</v>
      </c>
      <c r="D2" s="996"/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CELL("ZEILE",G88)</f>
        <v>88</v>
      </c>
    </row>
    <row r="3" spans="1:21" ht="15.75" x14ac:dyDescent="0.25">
      <c r="A3" s="975"/>
      <c r="B3" s="516"/>
      <c r="C3" s="1143" t="s">
        <v>833</v>
      </c>
      <c r="D3" s="1144"/>
      <c r="E3" s="1145"/>
      <c r="F3" s="516"/>
      <c r="G3" s="866" t="s">
        <v>832</v>
      </c>
      <c r="H3" s="867" t="s">
        <v>831</v>
      </c>
      <c r="I3" s="516"/>
      <c r="K3" s="268" t="s">
        <v>794</v>
      </c>
      <c r="L3" s="236"/>
      <c r="M3" s="236"/>
      <c r="N3" s="268">
        <f>E48</f>
        <v>0</v>
      </c>
    </row>
    <row r="4" spans="1:21" ht="15.75" x14ac:dyDescent="0.25">
      <c r="A4" s="975"/>
      <c r="B4" s="516"/>
      <c r="C4" s="516"/>
      <c r="D4" s="516"/>
      <c r="E4" s="516"/>
      <c r="F4" s="516"/>
      <c r="G4" s="516"/>
      <c r="H4" s="516"/>
      <c r="I4" s="516"/>
      <c r="K4" s="268"/>
      <c r="L4" s="236"/>
      <c r="M4" s="236"/>
      <c r="N4" s="268"/>
    </row>
    <row r="5" spans="1:21" ht="16.5" thickBot="1" x14ac:dyDescent="0.3">
      <c r="A5" s="975"/>
      <c r="B5" s="516"/>
      <c r="C5" s="516" t="s">
        <v>669</v>
      </c>
      <c r="D5" s="516"/>
      <c r="E5" s="516"/>
      <c r="F5" s="516"/>
      <c r="G5" s="516" t="s">
        <v>668</v>
      </c>
      <c r="H5" s="516" t="s">
        <v>670</v>
      </c>
      <c r="I5" s="516"/>
    </row>
    <row r="6" spans="1:21" s="356" customFormat="1" ht="15" customHeight="1" thickBot="1" x14ac:dyDescent="0.25">
      <c r="A6" s="975"/>
      <c r="B6" s="366"/>
      <c r="C6" s="1036" t="s">
        <v>671</v>
      </c>
      <c r="D6" s="1036"/>
      <c r="E6" s="1036"/>
      <c r="F6" s="1036"/>
      <c r="G6" s="664" t="s">
        <v>673</v>
      </c>
      <c r="H6" s="666">
        <f>ROUND(Gesamt!$E$14*0.5,2)</f>
        <v>39.54</v>
      </c>
      <c r="I6" s="667"/>
    </row>
    <row r="7" spans="1:21" s="356" customFormat="1" ht="15" customHeight="1" thickBot="1" x14ac:dyDescent="0.3">
      <c r="A7" s="975"/>
      <c r="B7" s="366"/>
      <c r="C7" s="1036" t="s">
        <v>672</v>
      </c>
      <c r="D7" s="1036"/>
      <c r="E7" s="1036"/>
      <c r="F7" s="1036"/>
      <c r="G7" s="664" t="s">
        <v>701</v>
      </c>
      <c r="H7" s="666">
        <f>ROUND(Gesamt!$E$14*0.65,2)</f>
        <v>51.4</v>
      </c>
      <c r="I7" s="667"/>
      <c r="M7" s="425"/>
      <c r="N7" s="425"/>
      <c r="O7" s="425"/>
      <c r="P7" s="425"/>
    </row>
    <row r="8" spans="1:21" s="356" customFormat="1" ht="15" customHeight="1" thickBot="1" x14ac:dyDescent="0.3">
      <c r="A8" s="975"/>
      <c r="B8" s="366"/>
      <c r="C8" s="1036" t="s">
        <v>674</v>
      </c>
      <c r="D8" s="1036"/>
      <c r="E8" s="1036"/>
      <c r="F8" s="1036"/>
      <c r="G8" s="664" t="s">
        <v>675</v>
      </c>
      <c r="H8" s="666">
        <f>ROUND(Gesamt!$E$14*0.8,2)</f>
        <v>63.26</v>
      </c>
      <c r="I8" s="667"/>
      <c r="M8" s="425"/>
      <c r="N8" s="425"/>
      <c r="O8" s="425"/>
      <c r="P8" s="425"/>
      <c r="R8" s="668"/>
      <c r="S8" s="668"/>
      <c r="T8" s="668"/>
      <c r="U8" s="668"/>
    </row>
    <row r="9" spans="1:21" s="356" customFormat="1" ht="15" customHeight="1" thickBot="1" x14ac:dyDescent="0.25">
      <c r="A9" s="975"/>
      <c r="B9" s="366"/>
      <c r="C9" s="1036" t="s">
        <v>681</v>
      </c>
      <c r="D9" s="1036"/>
      <c r="E9" s="1036"/>
      <c r="F9" s="1036"/>
      <c r="G9" s="664" t="s">
        <v>682</v>
      </c>
      <c r="H9" s="666">
        <f>ROUND(Gesamt!$E$14*0.8+12,2)</f>
        <v>75.260000000000005</v>
      </c>
      <c r="I9" s="667"/>
      <c r="R9" s="668"/>
      <c r="S9" s="668"/>
      <c r="T9" s="668"/>
      <c r="U9" s="668"/>
    </row>
    <row r="10" spans="1:21" s="356" customFormat="1" ht="15" customHeight="1" thickBot="1" x14ac:dyDescent="0.25">
      <c r="A10" s="975"/>
      <c r="B10" s="534"/>
      <c r="C10" s="1036" t="s">
        <v>676</v>
      </c>
      <c r="D10" s="1036"/>
      <c r="E10" s="1036"/>
      <c r="F10" s="1036"/>
      <c r="G10" s="664" t="s">
        <v>677</v>
      </c>
      <c r="H10" s="666">
        <f>ROUND(Gesamt!$E$14*1,2)</f>
        <v>79.08</v>
      </c>
      <c r="I10" s="534"/>
      <c r="R10" s="668"/>
      <c r="S10" s="668"/>
      <c r="T10" s="668"/>
      <c r="U10" s="668"/>
    </row>
    <row r="11" spans="1:21" s="356" customFormat="1" ht="15" customHeight="1" thickBot="1" x14ac:dyDescent="0.25">
      <c r="A11" s="975"/>
      <c r="B11" s="534"/>
      <c r="C11" s="1036" t="s">
        <v>812</v>
      </c>
      <c r="D11" s="1036"/>
      <c r="E11" s="1036"/>
      <c r="F11" s="1036"/>
      <c r="G11" s="664" t="s">
        <v>817</v>
      </c>
      <c r="H11" s="666">
        <f>ROUND(Gesamt!$E$14*1.15,2)</f>
        <v>90.94</v>
      </c>
      <c r="I11" s="534"/>
      <c r="O11" s="668"/>
      <c r="P11" s="668"/>
      <c r="R11" s="668"/>
      <c r="S11" s="668"/>
      <c r="T11" s="668"/>
      <c r="U11" s="668"/>
    </row>
    <row r="12" spans="1:21" s="356" customFormat="1" ht="15" customHeight="1" thickBot="1" x14ac:dyDescent="0.3">
      <c r="A12" s="975"/>
      <c r="B12" s="534"/>
      <c r="C12" s="1036" t="s">
        <v>813</v>
      </c>
      <c r="D12" s="1036"/>
      <c r="E12" s="1036"/>
      <c r="F12" s="1036"/>
      <c r="G12" s="664" t="s">
        <v>816</v>
      </c>
      <c r="H12" s="666">
        <f>ROUND(Gesamt!$E$14*1.25,2)</f>
        <v>98.85</v>
      </c>
      <c r="I12" s="534"/>
      <c r="K12" s="421"/>
      <c r="L12" s="425"/>
      <c r="O12" s="668"/>
      <c r="P12" s="668"/>
      <c r="R12" s="668"/>
      <c r="S12" s="668"/>
      <c r="T12" s="668"/>
      <c r="U12" s="668"/>
    </row>
    <row r="13" spans="1:21" s="356" customFormat="1" ht="15" customHeight="1" thickBot="1" x14ac:dyDescent="0.3">
      <c r="A13" s="975"/>
      <c r="B13" s="534"/>
      <c r="C13" s="1037" t="s">
        <v>814</v>
      </c>
      <c r="D13" s="1038"/>
      <c r="E13" s="1038"/>
      <c r="F13" s="1039"/>
      <c r="G13" s="664" t="s">
        <v>815</v>
      </c>
      <c r="H13" s="666">
        <f>ROUND(Gesamt!$E$14*1.5,2)</f>
        <v>118.62</v>
      </c>
      <c r="I13" s="534"/>
      <c r="K13" s="425"/>
      <c r="L13" s="425"/>
      <c r="O13" s="668"/>
      <c r="P13" s="668"/>
      <c r="R13" s="668"/>
      <c r="S13" s="668"/>
      <c r="T13" s="668"/>
      <c r="U13" s="668"/>
    </row>
    <row r="14" spans="1:21" s="356" customFormat="1" ht="15" customHeight="1" thickBot="1" x14ac:dyDescent="0.3">
      <c r="A14" s="975"/>
      <c r="B14" s="534"/>
      <c r="C14" s="1037" t="s">
        <v>678</v>
      </c>
      <c r="D14" s="1038"/>
      <c r="E14" s="1038"/>
      <c r="F14" s="1039"/>
      <c r="G14" s="664" t="s">
        <v>685</v>
      </c>
      <c r="H14" s="666">
        <f>ROUND(Gesamt!$E$14*2,2)</f>
        <v>158.16</v>
      </c>
      <c r="I14" s="534"/>
      <c r="L14" s="722"/>
      <c r="O14" s="668"/>
      <c r="P14" s="668"/>
      <c r="R14" s="668"/>
      <c r="S14" s="668"/>
      <c r="T14" s="668"/>
      <c r="U14" s="668"/>
    </row>
    <row r="15" spans="1:21" s="356" customFormat="1" ht="15" customHeight="1" thickBot="1" x14ac:dyDescent="0.3">
      <c r="A15" s="975"/>
      <c r="B15" s="534"/>
      <c r="C15" s="1037" t="s">
        <v>680</v>
      </c>
      <c r="D15" s="1038"/>
      <c r="E15" s="1038"/>
      <c r="F15" s="1039"/>
      <c r="G15" s="664" t="s">
        <v>686</v>
      </c>
      <c r="H15" s="666">
        <f>ROUND(Gesamt!$E$14*0.8+15,2)</f>
        <v>78.260000000000005</v>
      </c>
      <c r="I15" s="534"/>
      <c r="L15" s="425"/>
      <c r="O15" s="668"/>
      <c r="P15" s="668"/>
      <c r="Q15" s="668"/>
      <c r="R15" s="668"/>
      <c r="S15" s="668"/>
      <c r="T15" s="668"/>
      <c r="U15" s="668"/>
    </row>
    <row r="16" spans="1:21" s="356" customFormat="1" ht="15" customHeight="1" thickBot="1" x14ac:dyDescent="0.25">
      <c r="A16" s="975"/>
      <c r="B16" s="534"/>
      <c r="C16" s="1037" t="s">
        <v>679</v>
      </c>
      <c r="D16" s="1038"/>
      <c r="E16" s="1038"/>
      <c r="F16" s="1039"/>
      <c r="G16" s="664" t="s">
        <v>687</v>
      </c>
      <c r="H16" s="666">
        <f>ROUND(Gesamt!$E$14*1.6+12,2)</f>
        <v>138.53</v>
      </c>
      <c r="I16" s="534"/>
      <c r="L16" s="669"/>
      <c r="O16" s="668"/>
      <c r="P16" s="668"/>
      <c r="Q16" s="668"/>
      <c r="R16" s="668"/>
      <c r="S16" s="668"/>
      <c r="T16" s="668"/>
      <c r="U16" s="668"/>
    </row>
    <row r="17" spans="1:21" s="356" customFormat="1" ht="15" customHeight="1" thickBot="1" x14ac:dyDescent="0.3">
      <c r="A17" s="975"/>
      <c r="B17" s="534"/>
      <c r="C17" s="1037" t="s">
        <v>684</v>
      </c>
      <c r="D17" s="1038"/>
      <c r="E17" s="1038"/>
      <c r="F17" s="1039"/>
      <c r="G17" s="664" t="s">
        <v>683</v>
      </c>
      <c r="H17" s="666">
        <f>ROUND(Gesamt!$E$14*1.6+12+20*0.52,2)</f>
        <v>148.93</v>
      </c>
      <c r="I17" s="534"/>
      <c r="K17" s="421"/>
      <c r="L17" s="669"/>
      <c r="M17" s="668"/>
      <c r="N17" s="668"/>
      <c r="O17" s="668"/>
      <c r="P17" s="668"/>
      <c r="Q17" s="668"/>
      <c r="R17" s="668"/>
      <c r="S17" s="668"/>
      <c r="T17" s="668"/>
      <c r="U17" s="668"/>
    </row>
    <row r="18" spans="1:21" s="356" customFormat="1" ht="15" customHeight="1" thickBot="1" x14ac:dyDescent="0.3">
      <c r="A18" s="975"/>
      <c r="B18" s="534"/>
      <c r="C18" s="719" t="s">
        <v>692</v>
      </c>
      <c r="D18" s="720"/>
      <c r="E18" s="720"/>
      <c r="F18" s="721"/>
      <c r="G18" s="664" t="s">
        <v>693</v>
      </c>
      <c r="H18" s="666">
        <v>15</v>
      </c>
      <c r="I18" s="534"/>
      <c r="L18" s="425"/>
      <c r="O18" s="668"/>
      <c r="P18" s="668"/>
      <c r="Q18" s="668"/>
      <c r="R18" s="668"/>
      <c r="S18" s="668"/>
      <c r="T18" s="668"/>
      <c r="U18" s="668"/>
    </row>
    <row r="19" spans="1:21" s="356" customFormat="1" ht="15" customHeight="1" thickBot="1" x14ac:dyDescent="0.3">
      <c r="A19" s="975"/>
      <c r="B19" s="534"/>
      <c r="C19" s="1037"/>
      <c r="D19" s="1038"/>
      <c r="E19" s="1038"/>
      <c r="F19" s="1039"/>
      <c r="G19" s="664"/>
      <c r="H19" s="666"/>
      <c r="I19" s="534"/>
      <c r="L19" s="425"/>
      <c r="M19" s="668"/>
      <c r="N19" s="668"/>
      <c r="O19" s="668"/>
      <c r="P19" s="668"/>
      <c r="Q19" s="668"/>
      <c r="R19" s="668"/>
      <c r="S19" s="668"/>
      <c r="T19" s="668"/>
      <c r="U19" s="668"/>
    </row>
    <row r="20" spans="1:21" s="356" customFormat="1" ht="15" customHeight="1" x14ac:dyDescent="0.25">
      <c r="A20" s="975"/>
      <c r="B20" s="534"/>
      <c r="C20" s="534"/>
      <c r="D20" s="534"/>
      <c r="E20" s="534"/>
      <c r="F20" s="534"/>
      <c r="G20" s="534"/>
      <c r="H20" s="534"/>
      <c r="I20" s="534"/>
      <c r="L20" s="425"/>
      <c r="M20" s="425"/>
      <c r="N20" s="668"/>
      <c r="O20" s="668"/>
      <c r="P20" s="668"/>
      <c r="Q20" s="668"/>
      <c r="R20" s="668"/>
      <c r="S20" s="668"/>
      <c r="T20" s="668"/>
      <c r="U20" s="668"/>
    </row>
    <row r="21" spans="1:21" s="356" customFormat="1" ht="15" customHeight="1" x14ac:dyDescent="0.25">
      <c r="A21" s="975"/>
      <c r="B21" s="534"/>
      <c r="C21" s="534"/>
      <c r="D21" s="534"/>
      <c r="E21" s="534"/>
      <c r="F21" s="534"/>
      <c r="G21" s="534"/>
      <c r="H21" s="534"/>
      <c r="I21" s="534"/>
      <c r="K21" s="421"/>
      <c r="L21" s="425"/>
      <c r="M21" s="425"/>
      <c r="N21" s="668"/>
      <c r="O21" s="668"/>
      <c r="P21" s="668"/>
      <c r="Q21" s="668"/>
      <c r="R21" s="668"/>
      <c r="S21" s="668"/>
      <c r="T21" s="668"/>
      <c r="U21" s="668"/>
    </row>
    <row r="22" spans="1:21" s="356" customFormat="1" ht="15" customHeight="1" thickBot="1" x14ac:dyDescent="0.3">
      <c r="A22" s="975"/>
      <c r="B22" s="534"/>
      <c r="C22" s="534" t="s">
        <v>690</v>
      </c>
      <c r="D22" s="534" t="s">
        <v>691</v>
      </c>
      <c r="E22" s="672" t="s">
        <v>689</v>
      </c>
      <c r="F22" s="672" t="s">
        <v>694</v>
      </c>
      <c r="G22" s="672" t="s">
        <v>670</v>
      </c>
      <c r="H22" s="672" t="s">
        <v>688</v>
      </c>
      <c r="I22" s="534"/>
      <c r="K22" s="668"/>
      <c r="L22" s="425"/>
      <c r="M22" s="425"/>
      <c r="N22" s="668"/>
      <c r="O22" s="668"/>
      <c r="P22" s="668"/>
    </row>
    <row r="23" spans="1:21" ht="16.5" thickBot="1" x14ac:dyDescent="0.3">
      <c r="A23" s="975"/>
      <c r="B23" s="92"/>
      <c r="C23" s="716"/>
      <c r="D23" s="685"/>
      <c r="E23" s="665"/>
      <c r="F23" s="665"/>
      <c r="G23" s="684" t="str">
        <f>IF(E23&lt;&gt;"",VLOOKUP(E23,G$6:H$19,2,FALSE),"")</f>
        <v/>
      </c>
      <c r="H23" s="684" t="str">
        <f t="shared" ref="H23:H42" si="0">IF(AND(E23&lt;&gt;"",F23&lt;&gt;"",F23&gt;0),F23*G23,"")</f>
        <v/>
      </c>
      <c r="I23" s="93"/>
      <c r="K23" s="513"/>
      <c r="L23" s="513"/>
      <c r="N23" s="513"/>
      <c r="O23" s="513"/>
      <c r="P23" s="513"/>
    </row>
    <row r="24" spans="1:21" ht="16.5" thickBot="1" x14ac:dyDescent="0.3">
      <c r="A24" s="975"/>
      <c r="B24" s="516"/>
      <c r="C24" s="716"/>
      <c r="D24" s="685"/>
      <c r="E24" s="665"/>
      <c r="F24" s="665"/>
      <c r="G24" s="684" t="str">
        <f t="shared" ref="G24:G42" si="1">IF(E24&lt;&gt;"",VLOOKUP(E24,G$6:H$19,2,FALSE),"")</f>
        <v/>
      </c>
      <c r="H24" s="684" t="str">
        <f t="shared" si="0"/>
        <v/>
      </c>
      <c r="I24" s="516"/>
      <c r="K24" s="513"/>
      <c r="L24" s="513"/>
      <c r="N24" s="513"/>
      <c r="O24" s="513"/>
      <c r="P24" s="513"/>
    </row>
    <row r="25" spans="1:21" ht="16.5" thickBot="1" x14ac:dyDescent="0.3">
      <c r="A25" s="975"/>
      <c r="B25" s="516"/>
      <c r="C25" s="716"/>
      <c r="D25" s="685"/>
      <c r="E25" s="665"/>
      <c r="F25" s="665"/>
      <c r="G25" s="684" t="str">
        <f t="shared" si="1"/>
        <v/>
      </c>
      <c r="H25" s="684" t="str">
        <f t="shared" si="0"/>
        <v/>
      </c>
      <c r="I25" s="516"/>
      <c r="K25" s="513"/>
      <c r="L25" s="513"/>
      <c r="M25" s="518"/>
      <c r="N25" s="513"/>
      <c r="O25" s="513"/>
      <c r="P25" s="513"/>
    </row>
    <row r="26" spans="1:21" ht="16.5" thickBot="1" x14ac:dyDescent="0.3">
      <c r="A26" s="975"/>
      <c r="B26" s="516"/>
      <c r="C26" s="716"/>
      <c r="D26" s="685"/>
      <c r="E26" s="665"/>
      <c r="F26" s="665"/>
      <c r="G26" s="684" t="str">
        <f t="shared" si="1"/>
        <v/>
      </c>
      <c r="H26" s="684" t="str">
        <f t="shared" si="0"/>
        <v/>
      </c>
      <c r="I26" s="516"/>
      <c r="K26" s="513"/>
      <c r="L26" s="723"/>
      <c r="M26" s="518"/>
      <c r="N26" s="513"/>
      <c r="O26" s="513"/>
      <c r="P26" s="513"/>
    </row>
    <row r="27" spans="1:21" ht="16.5" thickBot="1" x14ac:dyDescent="0.3">
      <c r="A27" s="975"/>
      <c r="B27" s="516"/>
      <c r="C27" s="716"/>
      <c r="D27" s="685"/>
      <c r="E27" s="665"/>
      <c r="F27" s="665"/>
      <c r="G27" s="684" t="str">
        <f t="shared" si="1"/>
        <v/>
      </c>
      <c r="H27" s="684" t="str">
        <f t="shared" si="0"/>
        <v/>
      </c>
      <c r="I27" s="516"/>
      <c r="K27" s="513"/>
      <c r="L27" s="513"/>
      <c r="M27" s="518"/>
      <c r="N27" s="513"/>
      <c r="O27" s="513"/>
      <c r="P27" s="513"/>
    </row>
    <row r="28" spans="1:21" ht="16.5" thickBot="1" x14ac:dyDescent="0.3">
      <c r="A28" s="975"/>
      <c r="B28" s="516"/>
      <c r="C28" s="716"/>
      <c r="D28" s="685"/>
      <c r="E28" s="665"/>
      <c r="F28" s="665"/>
      <c r="G28" s="684" t="str">
        <f t="shared" si="1"/>
        <v/>
      </c>
      <c r="H28" s="684" t="str">
        <f t="shared" si="0"/>
        <v/>
      </c>
      <c r="I28" s="516"/>
      <c r="K28" s="513"/>
      <c r="L28" s="513"/>
      <c r="M28" s="518"/>
      <c r="N28" s="513"/>
      <c r="O28" s="513"/>
      <c r="P28" s="513"/>
    </row>
    <row r="29" spans="1:21" ht="16.5" thickBot="1" x14ac:dyDescent="0.3">
      <c r="A29" s="975"/>
      <c r="B29" s="516"/>
      <c r="C29" s="716"/>
      <c r="D29" s="685"/>
      <c r="E29" s="665"/>
      <c r="F29" s="665"/>
      <c r="G29" s="684" t="str">
        <f t="shared" si="1"/>
        <v/>
      </c>
      <c r="H29" s="684" t="str">
        <f t="shared" si="0"/>
        <v/>
      </c>
      <c r="I29" s="516"/>
      <c r="K29" s="513"/>
      <c r="L29" s="513"/>
      <c r="M29" s="518"/>
      <c r="N29" s="513"/>
      <c r="O29" s="513"/>
      <c r="P29" s="513"/>
    </row>
    <row r="30" spans="1:21" ht="16.5" thickBot="1" x14ac:dyDescent="0.3">
      <c r="A30" s="975"/>
      <c r="B30" s="516"/>
      <c r="C30" s="716"/>
      <c r="D30" s="685"/>
      <c r="E30" s="665"/>
      <c r="F30" s="665"/>
      <c r="G30" s="684" t="str">
        <f t="shared" si="1"/>
        <v/>
      </c>
      <c r="H30" s="684" t="str">
        <f t="shared" si="0"/>
        <v/>
      </c>
      <c r="I30" s="516"/>
      <c r="K30" s="513"/>
      <c r="L30" s="513"/>
      <c r="M30" s="518"/>
      <c r="N30" s="513"/>
      <c r="O30" s="513"/>
      <c r="P30" s="513"/>
    </row>
    <row r="31" spans="1:21" ht="16.5" thickBot="1" x14ac:dyDescent="0.3">
      <c r="A31" s="975"/>
      <c r="B31" s="516"/>
      <c r="C31" s="716"/>
      <c r="D31" s="685"/>
      <c r="E31" s="665"/>
      <c r="F31" s="665"/>
      <c r="G31" s="684" t="str">
        <f t="shared" si="1"/>
        <v/>
      </c>
      <c r="H31" s="684" t="str">
        <f t="shared" si="0"/>
        <v/>
      </c>
      <c r="I31" s="516"/>
      <c r="K31" s="513"/>
      <c r="L31" s="513"/>
      <c r="M31" s="518"/>
      <c r="N31" s="513"/>
      <c r="O31" s="513"/>
      <c r="P31" s="513"/>
    </row>
    <row r="32" spans="1:21" ht="16.5" thickBot="1" x14ac:dyDescent="0.3">
      <c r="A32" s="975"/>
      <c r="B32" s="516"/>
      <c r="C32" s="716"/>
      <c r="D32" s="685"/>
      <c r="E32" s="665"/>
      <c r="F32" s="665"/>
      <c r="G32" s="684" t="str">
        <f t="shared" si="1"/>
        <v/>
      </c>
      <c r="H32" s="684" t="str">
        <f t="shared" si="0"/>
        <v/>
      </c>
      <c r="I32" s="516"/>
      <c r="K32" s="513"/>
      <c r="L32" s="513"/>
      <c r="M32" s="518"/>
      <c r="N32" s="513"/>
      <c r="O32" s="513"/>
      <c r="P32" s="513"/>
    </row>
    <row r="33" spans="1:16" ht="16.5" thickBot="1" x14ac:dyDescent="0.3">
      <c r="A33" s="975"/>
      <c r="B33" s="516"/>
      <c r="C33" s="716"/>
      <c r="D33" s="685"/>
      <c r="E33" s="665"/>
      <c r="F33" s="665"/>
      <c r="G33" s="684" t="str">
        <f t="shared" si="1"/>
        <v/>
      </c>
      <c r="H33" s="684" t="str">
        <f t="shared" si="0"/>
        <v/>
      </c>
      <c r="I33" s="516"/>
      <c r="K33" s="513"/>
      <c r="L33" s="513"/>
      <c r="M33" s="518"/>
      <c r="N33" s="513"/>
      <c r="O33" s="513"/>
      <c r="P33" s="513"/>
    </row>
    <row r="34" spans="1:16" ht="16.5" thickBot="1" x14ac:dyDescent="0.3">
      <c r="A34" s="975"/>
      <c r="B34" s="516"/>
      <c r="C34" s="716"/>
      <c r="D34" s="685"/>
      <c r="E34" s="665"/>
      <c r="F34" s="665"/>
      <c r="G34" s="684" t="str">
        <f t="shared" si="1"/>
        <v/>
      </c>
      <c r="H34" s="684" t="str">
        <f t="shared" si="0"/>
        <v/>
      </c>
      <c r="I34" s="516"/>
      <c r="K34" s="513"/>
      <c r="L34" s="513"/>
      <c r="M34" s="518"/>
      <c r="N34" s="513"/>
      <c r="O34" s="513"/>
      <c r="P34" s="513"/>
    </row>
    <row r="35" spans="1:16" ht="16.5" thickBot="1" x14ac:dyDescent="0.3">
      <c r="A35" s="975"/>
      <c r="B35" s="516"/>
      <c r="C35" s="716"/>
      <c r="D35" s="685"/>
      <c r="E35" s="665"/>
      <c r="F35" s="665"/>
      <c r="G35" s="684" t="str">
        <f t="shared" si="1"/>
        <v/>
      </c>
      <c r="H35" s="684" t="str">
        <f t="shared" si="0"/>
        <v/>
      </c>
      <c r="I35" s="516"/>
      <c r="K35" s="513"/>
      <c r="L35" s="513"/>
      <c r="M35" s="518"/>
      <c r="N35" s="513"/>
      <c r="O35" s="513"/>
      <c r="P35" s="513"/>
    </row>
    <row r="36" spans="1:16" ht="16.5" thickBot="1" x14ac:dyDescent="0.3">
      <c r="A36" s="975"/>
      <c r="B36" s="516"/>
      <c r="C36" s="716"/>
      <c r="D36" s="685"/>
      <c r="E36" s="665"/>
      <c r="F36" s="665"/>
      <c r="G36" s="684" t="str">
        <f t="shared" si="1"/>
        <v/>
      </c>
      <c r="H36" s="684" t="str">
        <f t="shared" si="0"/>
        <v/>
      </c>
      <c r="I36" s="516"/>
      <c r="K36" s="513"/>
      <c r="L36" s="513"/>
      <c r="M36" s="518"/>
      <c r="N36" s="513"/>
      <c r="O36" s="513"/>
      <c r="P36" s="513"/>
    </row>
    <row r="37" spans="1:16" ht="16.5" thickBot="1" x14ac:dyDescent="0.3">
      <c r="A37" s="975"/>
      <c r="B37" s="516"/>
      <c r="C37" s="716"/>
      <c r="D37" s="685"/>
      <c r="E37" s="665"/>
      <c r="F37" s="665"/>
      <c r="G37" s="684" t="str">
        <f t="shared" si="1"/>
        <v/>
      </c>
      <c r="H37" s="684" t="str">
        <f t="shared" si="0"/>
        <v/>
      </c>
      <c r="I37" s="516"/>
      <c r="K37" s="513"/>
      <c r="L37" s="513"/>
      <c r="M37" s="518"/>
      <c r="N37" s="513"/>
      <c r="O37" s="513"/>
      <c r="P37" s="513"/>
    </row>
    <row r="38" spans="1:16" ht="16.5" thickBot="1" x14ac:dyDescent="0.3">
      <c r="A38" s="975"/>
      <c r="B38" s="516"/>
      <c r="C38" s="716"/>
      <c r="D38" s="685"/>
      <c r="E38" s="665"/>
      <c r="F38" s="665"/>
      <c r="G38" s="684" t="str">
        <f t="shared" si="1"/>
        <v/>
      </c>
      <c r="H38" s="684" t="str">
        <f t="shared" si="0"/>
        <v/>
      </c>
      <c r="I38" s="516"/>
      <c r="K38" s="513"/>
      <c r="L38" s="513"/>
      <c r="M38" s="518"/>
      <c r="N38" s="513"/>
      <c r="O38" s="513"/>
      <c r="P38" s="513"/>
    </row>
    <row r="39" spans="1:16" ht="16.5" thickBot="1" x14ac:dyDescent="0.3">
      <c r="A39" s="975"/>
      <c r="B39" s="516"/>
      <c r="C39" s="716"/>
      <c r="D39" s="685"/>
      <c r="E39" s="665"/>
      <c r="F39" s="665"/>
      <c r="G39" s="684" t="str">
        <f t="shared" si="1"/>
        <v/>
      </c>
      <c r="H39" s="684" t="str">
        <f t="shared" si="0"/>
        <v/>
      </c>
      <c r="I39" s="516"/>
      <c r="K39" s="513"/>
      <c r="L39" s="513"/>
      <c r="M39" s="518"/>
      <c r="N39" s="513"/>
      <c r="O39" s="513"/>
      <c r="P39" s="513"/>
    </row>
    <row r="40" spans="1:16" ht="16.5" thickBot="1" x14ac:dyDescent="0.3">
      <c r="A40" s="975"/>
      <c r="B40" s="516"/>
      <c r="C40" s="716"/>
      <c r="D40" s="685"/>
      <c r="E40" s="665"/>
      <c r="F40" s="665"/>
      <c r="G40" s="684" t="str">
        <f t="shared" si="1"/>
        <v/>
      </c>
      <c r="H40" s="684" t="str">
        <f t="shared" si="0"/>
        <v/>
      </c>
      <c r="I40" s="516"/>
      <c r="K40" s="513"/>
      <c r="L40" s="513"/>
      <c r="M40" s="518"/>
      <c r="N40" s="513"/>
      <c r="O40" s="513"/>
      <c r="P40" s="513"/>
    </row>
    <row r="41" spans="1:16" ht="16.5" thickBot="1" x14ac:dyDescent="0.3">
      <c r="A41" s="975"/>
      <c r="B41" s="516"/>
      <c r="C41" s="716"/>
      <c r="D41" s="685"/>
      <c r="E41" s="665"/>
      <c r="F41" s="665"/>
      <c r="G41" s="684" t="str">
        <f t="shared" si="1"/>
        <v/>
      </c>
      <c r="H41" s="684" t="str">
        <f t="shared" si="0"/>
        <v/>
      </c>
      <c r="I41" s="516"/>
      <c r="K41" s="513"/>
      <c r="L41" s="513"/>
      <c r="M41" s="518"/>
      <c r="N41" s="513"/>
      <c r="O41" s="513"/>
      <c r="P41" s="513"/>
    </row>
    <row r="42" spans="1:16" ht="16.5" thickBot="1" x14ac:dyDescent="0.3">
      <c r="A42" s="975"/>
      <c r="B42" s="516"/>
      <c r="C42" s="716"/>
      <c r="D42" s="685"/>
      <c r="E42" s="665"/>
      <c r="F42" s="665"/>
      <c r="G42" s="684" t="str">
        <f t="shared" si="1"/>
        <v/>
      </c>
      <c r="H42" s="684" t="str">
        <f t="shared" si="0"/>
        <v/>
      </c>
      <c r="I42" s="516"/>
      <c r="K42" s="513"/>
      <c r="L42" s="513"/>
      <c r="M42" s="518"/>
      <c r="N42" s="513"/>
      <c r="O42" s="513"/>
      <c r="P42" s="513"/>
    </row>
    <row r="43" spans="1:16" ht="16.5" thickBot="1" x14ac:dyDescent="0.3">
      <c r="A43" s="975"/>
      <c r="B43" s="516"/>
      <c r="C43" s="516"/>
      <c r="D43" s="516"/>
      <c r="E43" s="516"/>
      <c r="F43" s="516"/>
      <c r="G43" s="516"/>
      <c r="H43" s="686" t="str">
        <f>IF(VSK&lt;&gt;0, SUM(H23:H42),"")</f>
        <v/>
      </c>
      <c r="I43" s="516"/>
      <c r="K43" s="513"/>
      <c r="L43" s="513"/>
      <c r="M43" s="518"/>
      <c r="N43" s="513"/>
      <c r="O43" s="513"/>
      <c r="P43" s="513"/>
    </row>
    <row r="44" spans="1:16" ht="15.75" x14ac:dyDescent="0.25">
      <c r="A44" s="975"/>
      <c r="B44" s="475"/>
      <c r="C44" s="486"/>
      <c r="D44" s="487"/>
      <c r="E44" s="486"/>
      <c r="F44" s="488"/>
      <c r="G44" s="486"/>
      <c r="H44" s="488"/>
      <c r="I44" s="476"/>
      <c r="K44" s="513"/>
      <c r="L44" s="513"/>
      <c r="M44" s="518"/>
      <c r="N44" s="513"/>
      <c r="O44" s="513"/>
      <c r="P44" s="513"/>
    </row>
    <row r="45" spans="1:16" ht="15.75" x14ac:dyDescent="0.25">
      <c r="A45" s="975"/>
      <c r="B45" s="475"/>
      <c r="C45" s="476" t="s">
        <v>34</v>
      </c>
      <c r="D45" s="476"/>
      <c r="E45" s="489"/>
      <c r="F45" s="1030"/>
      <c r="G45" s="1031"/>
      <c r="H45" s="1032"/>
      <c r="I45" s="476"/>
      <c r="K45" s="513"/>
      <c r="L45" s="513"/>
      <c r="M45" s="513"/>
      <c r="N45" s="513"/>
      <c r="O45" s="513"/>
      <c r="P45" s="513"/>
    </row>
    <row r="46" spans="1:16" ht="15.75" x14ac:dyDescent="0.25">
      <c r="A46" s="975"/>
      <c r="B46" s="475"/>
      <c r="C46" s="476" t="s">
        <v>826</v>
      </c>
      <c r="D46" s="476"/>
      <c r="E46" s="732"/>
      <c r="F46" s="1000"/>
      <c r="G46" s="1043"/>
      <c r="H46" s="1001"/>
      <c r="I46" s="476"/>
    </row>
    <row r="47" spans="1:16" ht="15.75" x14ac:dyDescent="0.25">
      <c r="A47" s="975"/>
      <c r="B47" s="475"/>
      <c r="C47" s="476"/>
      <c r="D47" s="476"/>
      <c r="E47" s="491"/>
      <c r="F47" s="476"/>
      <c r="G47" s="475"/>
      <c r="H47" s="475"/>
      <c r="I47" s="474"/>
    </row>
    <row r="48" spans="1:16" ht="21" x14ac:dyDescent="0.35">
      <c r="A48" s="975"/>
      <c r="B48" s="474"/>
      <c r="C48" s="492" t="str">
        <f>IF(VSK=0, "UNVOLLSTÄNDIG AUSGEFÜLLT!","")</f>
        <v>UNVOLLSTÄNDIG AUSGEFÜLLT!</v>
      </c>
      <c r="D48" s="474"/>
      <c r="E48" s="673">
        <f>IF(SUM(H23:H42)&gt;0,1,0)</f>
        <v>0</v>
      </c>
      <c r="F48" s="474"/>
      <c r="G48" s="999" t="str">
        <f>IF(VSK&lt;&gt;0, G88,"")</f>
        <v/>
      </c>
      <c r="H48" s="999"/>
      <c r="I48" s="474"/>
      <c r="P48" s="513"/>
    </row>
    <row r="49" spans="1:15" ht="15.75" x14ac:dyDescent="0.25">
      <c r="A49" s="975"/>
      <c r="B49" s="474"/>
      <c r="C49" s="474"/>
      <c r="D49" s="474"/>
      <c r="E49" s="474"/>
      <c r="F49" s="474"/>
      <c r="G49" s="474"/>
      <c r="H49" s="474"/>
      <c r="I49" s="474"/>
    </row>
    <row r="50" spans="1:15" ht="15" customHeight="1" x14ac:dyDescent="0.25">
      <c r="A50" s="973" t="s">
        <v>72</v>
      </c>
    </row>
    <row r="51" spans="1:15" x14ac:dyDescent="0.25">
      <c r="A51" s="973"/>
      <c r="B51" s="974" t="str">
        <f>CONCATENATE(Gesamt!C2, ": ", Gesamt!E2)</f>
        <v xml:space="preserve">Projekt: </v>
      </c>
      <c r="C51" s="974"/>
      <c r="D51" s="974"/>
      <c r="E51" s="974"/>
      <c r="F51" s="974"/>
      <c r="G51" s="974"/>
      <c r="H51" s="974"/>
      <c r="I51" s="974"/>
    </row>
    <row r="52" spans="1:15" x14ac:dyDescent="0.25">
      <c r="A52" s="973"/>
      <c r="B52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52" s="969"/>
      <c r="D52" s="969"/>
      <c r="E52" s="969"/>
      <c r="F52" s="969"/>
      <c r="G52" s="969"/>
      <c r="H52" s="969"/>
      <c r="I52" s="969"/>
    </row>
    <row r="53" spans="1:15" x14ac:dyDescent="0.25">
      <c r="A53" s="973"/>
      <c r="B53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53" s="969"/>
      <c r="D53" s="969"/>
      <c r="E53" s="969"/>
      <c r="F53" s="969"/>
      <c r="G53" s="969"/>
      <c r="H53" s="969"/>
      <c r="I53" s="969"/>
    </row>
    <row r="54" spans="1:15" x14ac:dyDescent="0.25">
      <c r="A54" s="973"/>
      <c r="B54" s="969" t="s">
        <v>42</v>
      </c>
      <c r="C54" s="969"/>
      <c r="D54" s="969"/>
      <c r="E54" s="969"/>
      <c r="F54" s="969"/>
      <c r="G54" s="969"/>
      <c r="H54" s="969"/>
      <c r="I54" s="969"/>
    </row>
    <row r="55" spans="1:15" x14ac:dyDescent="0.25">
      <c r="A55" s="973"/>
    </row>
    <row r="56" spans="1:15" ht="18.75" x14ac:dyDescent="0.25">
      <c r="A56" s="973"/>
      <c r="B56" s="968" t="str">
        <f>C2</f>
        <v>Überschrift</v>
      </c>
      <c r="C56" s="968"/>
      <c r="D56" s="968"/>
      <c r="E56" s="968"/>
      <c r="F56" s="968"/>
      <c r="G56" s="968"/>
      <c r="H56" s="968"/>
      <c r="I56" s="968"/>
    </row>
    <row r="57" spans="1:15" x14ac:dyDescent="0.25">
      <c r="A57" s="973"/>
    </row>
    <row r="58" spans="1:15" x14ac:dyDescent="0.25">
      <c r="A58" s="973"/>
      <c r="C58" s="425" t="str">
        <f>CONCATENATE("LB_VG, Pos. ", H3, ", ",C3)</f>
        <v>LB_VG, Pos. neu, (nicht enthalten im Standardleistungsverzeichnis)</v>
      </c>
    </row>
    <row r="59" spans="1:15" x14ac:dyDescent="0.25">
      <c r="A59" s="973"/>
    </row>
    <row r="60" spans="1:15" x14ac:dyDescent="0.25">
      <c r="A60" s="973"/>
      <c r="C60" s="425" t="s">
        <v>46</v>
      </c>
      <c r="E60" s="367">
        <f>Gesamt!E14</f>
        <v>79.08</v>
      </c>
    </row>
    <row r="61" spans="1:15" x14ac:dyDescent="0.25">
      <c r="A61" s="973"/>
      <c r="C61" s="444"/>
    </row>
    <row r="62" spans="1:15" x14ac:dyDescent="0.25">
      <c r="A62" s="973"/>
      <c r="C62" s="678" t="s">
        <v>690</v>
      </c>
      <c r="D62" s="678" t="s">
        <v>691</v>
      </c>
      <c r="E62" s="679" t="s">
        <v>689</v>
      </c>
      <c r="F62" s="679" t="s">
        <v>694</v>
      </c>
      <c r="G62" s="679" t="s">
        <v>670</v>
      </c>
      <c r="H62" s="679" t="s">
        <v>688</v>
      </c>
    </row>
    <row r="63" spans="1:15" x14ac:dyDescent="0.25">
      <c r="A63" s="973"/>
      <c r="C63" s="682" t="str">
        <f>IF(C23&lt;&gt;"",C23,"")</f>
        <v/>
      </c>
      <c r="D63" s="676" t="str">
        <f t="shared" ref="D63:H63" si="2">IF(D23&lt;&gt;"",D23,"")</f>
        <v/>
      </c>
      <c r="E63" s="675" t="str">
        <f t="shared" si="2"/>
        <v/>
      </c>
      <c r="F63" s="675" t="str">
        <f t="shared" si="2"/>
        <v/>
      </c>
      <c r="G63" s="680" t="str">
        <f t="shared" si="2"/>
        <v/>
      </c>
      <c r="H63" s="677" t="str">
        <f t="shared" si="2"/>
        <v/>
      </c>
      <c r="K63" s="960" t="s">
        <v>700</v>
      </c>
      <c r="L63" s="1017"/>
      <c r="M63" s="1017"/>
      <c r="N63" s="1017"/>
      <c r="O63" s="1018"/>
    </row>
    <row r="64" spans="1:15" x14ac:dyDescent="0.25">
      <c r="A64" s="973"/>
      <c r="C64" s="682" t="str">
        <f t="shared" ref="C64:H79" si="3">IF(C24&lt;&gt;"",C24,"")</f>
        <v/>
      </c>
      <c r="D64" s="676" t="str">
        <f t="shared" si="3"/>
        <v/>
      </c>
      <c r="E64" s="675" t="str">
        <f t="shared" si="3"/>
        <v/>
      </c>
      <c r="F64" s="675" t="str">
        <f t="shared" si="3"/>
        <v/>
      </c>
      <c r="G64" s="680" t="str">
        <f t="shared" si="3"/>
        <v/>
      </c>
      <c r="H64" s="677" t="str">
        <f t="shared" si="3"/>
        <v/>
      </c>
      <c r="K64" s="1019"/>
      <c r="L64" s="1020"/>
      <c r="M64" s="1020"/>
      <c r="N64" s="1020"/>
      <c r="O64" s="1021"/>
    </row>
    <row r="65" spans="1:15" x14ac:dyDescent="0.25">
      <c r="A65" s="973"/>
      <c r="B65" s="437"/>
      <c r="C65" s="682" t="str">
        <f t="shared" si="3"/>
        <v/>
      </c>
      <c r="D65" s="676" t="str">
        <f t="shared" si="3"/>
        <v/>
      </c>
      <c r="E65" s="675" t="str">
        <f t="shared" si="3"/>
        <v/>
      </c>
      <c r="F65" s="675" t="str">
        <f t="shared" si="3"/>
        <v/>
      </c>
      <c r="G65" s="680" t="str">
        <f t="shared" si="3"/>
        <v/>
      </c>
      <c r="H65" s="677" t="str">
        <f t="shared" si="3"/>
        <v/>
      </c>
      <c r="K65" s="1019"/>
      <c r="L65" s="1020"/>
      <c r="M65" s="1020"/>
      <c r="N65" s="1020"/>
      <c r="O65" s="1021"/>
    </row>
    <row r="66" spans="1:15" x14ac:dyDescent="0.25">
      <c r="A66" s="973"/>
      <c r="B66" s="437"/>
      <c r="C66" s="682" t="str">
        <f t="shared" si="3"/>
        <v/>
      </c>
      <c r="D66" s="676" t="str">
        <f t="shared" si="3"/>
        <v/>
      </c>
      <c r="E66" s="675" t="str">
        <f t="shared" si="3"/>
        <v/>
      </c>
      <c r="F66" s="675" t="str">
        <f t="shared" si="3"/>
        <v/>
      </c>
      <c r="G66" s="680" t="str">
        <f t="shared" si="3"/>
        <v/>
      </c>
      <c r="H66" s="677" t="str">
        <f t="shared" si="3"/>
        <v/>
      </c>
      <c r="K66" s="1019"/>
      <c r="L66" s="1020"/>
      <c r="M66" s="1020"/>
      <c r="N66" s="1020"/>
      <c r="O66" s="1021"/>
    </row>
    <row r="67" spans="1:15" x14ac:dyDescent="0.25">
      <c r="A67" s="973"/>
      <c r="C67" s="682" t="str">
        <f t="shared" si="3"/>
        <v/>
      </c>
      <c r="D67" s="676" t="str">
        <f t="shared" si="3"/>
        <v/>
      </c>
      <c r="E67" s="675" t="str">
        <f t="shared" si="3"/>
        <v/>
      </c>
      <c r="F67" s="675" t="str">
        <f t="shared" si="3"/>
        <v/>
      </c>
      <c r="G67" s="680" t="str">
        <f t="shared" si="3"/>
        <v/>
      </c>
      <c r="H67" s="677" t="str">
        <f t="shared" si="3"/>
        <v/>
      </c>
      <c r="K67" s="1022"/>
      <c r="L67" s="1023"/>
      <c r="M67" s="1023"/>
      <c r="N67" s="1023"/>
      <c r="O67" s="1024"/>
    </row>
    <row r="68" spans="1:15" x14ac:dyDescent="0.25">
      <c r="A68" s="973"/>
      <c r="C68" s="682" t="str">
        <f t="shared" si="3"/>
        <v/>
      </c>
      <c r="D68" s="676" t="str">
        <f t="shared" si="3"/>
        <v/>
      </c>
      <c r="E68" s="675" t="str">
        <f t="shared" si="3"/>
        <v/>
      </c>
      <c r="F68" s="675" t="str">
        <f t="shared" si="3"/>
        <v/>
      </c>
      <c r="G68" s="680" t="str">
        <f t="shared" si="3"/>
        <v/>
      </c>
      <c r="H68" s="677" t="str">
        <f t="shared" si="3"/>
        <v/>
      </c>
    </row>
    <row r="69" spans="1:15" x14ac:dyDescent="0.25">
      <c r="A69" s="973"/>
      <c r="C69" s="682" t="str">
        <f t="shared" si="3"/>
        <v/>
      </c>
      <c r="D69" s="676" t="str">
        <f t="shared" si="3"/>
        <v/>
      </c>
      <c r="E69" s="675" t="str">
        <f t="shared" si="3"/>
        <v/>
      </c>
      <c r="F69" s="675" t="str">
        <f t="shared" si="3"/>
        <v/>
      </c>
      <c r="G69" s="680" t="str">
        <f t="shared" si="3"/>
        <v/>
      </c>
      <c r="H69" s="677" t="str">
        <f t="shared" si="3"/>
        <v/>
      </c>
    </row>
    <row r="70" spans="1:15" x14ac:dyDescent="0.25">
      <c r="A70" s="973"/>
      <c r="C70" s="682" t="str">
        <f t="shared" si="3"/>
        <v/>
      </c>
      <c r="D70" s="676" t="str">
        <f t="shared" si="3"/>
        <v/>
      </c>
      <c r="E70" s="675" t="str">
        <f t="shared" si="3"/>
        <v/>
      </c>
      <c r="F70" s="675" t="str">
        <f t="shared" si="3"/>
        <v/>
      </c>
      <c r="G70" s="680" t="str">
        <f t="shared" si="3"/>
        <v/>
      </c>
      <c r="H70" s="677" t="str">
        <f t="shared" si="3"/>
        <v/>
      </c>
    </row>
    <row r="71" spans="1:15" x14ac:dyDescent="0.25">
      <c r="A71" s="973"/>
      <c r="C71" s="682" t="str">
        <f t="shared" si="3"/>
        <v/>
      </c>
      <c r="D71" s="676" t="str">
        <f t="shared" si="3"/>
        <v/>
      </c>
      <c r="E71" s="675" t="str">
        <f t="shared" si="3"/>
        <v/>
      </c>
      <c r="F71" s="675" t="str">
        <f t="shared" si="3"/>
        <v/>
      </c>
      <c r="G71" s="680" t="str">
        <f t="shared" si="3"/>
        <v/>
      </c>
      <c r="H71" s="677" t="str">
        <f t="shared" si="3"/>
        <v/>
      </c>
    </row>
    <row r="72" spans="1:15" x14ac:dyDescent="0.25">
      <c r="A72" s="973"/>
      <c r="C72" s="682" t="str">
        <f t="shared" si="3"/>
        <v/>
      </c>
      <c r="D72" s="676" t="str">
        <f t="shared" si="3"/>
        <v/>
      </c>
      <c r="E72" s="675" t="str">
        <f t="shared" si="3"/>
        <v/>
      </c>
      <c r="F72" s="675" t="str">
        <f t="shared" si="3"/>
        <v/>
      </c>
      <c r="G72" s="680" t="str">
        <f t="shared" si="3"/>
        <v/>
      </c>
      <c r="H72" s="677" t="str">
        <f t="shared" si="3"/>
        <v/>
      </c>
    </row>
    <row r="73" spans="1:15" x14ac:dyDescent="0.25">
      <c r="A73" s="973"/>
      <c r="C73" s="682" t="str">
        <f t="shared" si="3"/>
        <v/>
      </c>
      <c r="D73" s="676" t="str">
        <f t="shared" si="3"/>
        <v/>
      </c>
      <c r="E73" s="675" t="str">
        <f t="shared" si="3"/>
        <v/>
      </c>
      <c r="F73" s="675" t="str">
        <f t="shared" si="3"/>
        <v/>
      </c>
      <c r="G73" s="680" t="str">
        <f t="shared" si="3"/>
        <v/>
      </c>
      <c r="H73" s="677" t="str">
        <f t="shared" si="3"/>
        <v/>
      </c>
    </row>
    <row r="74" spans="1:15" x14ac:dyDescent="0.25">
      <c r="A74" s="973"/>
      <c r="C74" s="682" t="str">
        <f t="shared" si="3"/>
        <v/>
      </c>
      <c r="D74" s="676" t="str">
        <f t="shared" si="3"/>
        <v/>
      </c>
      <c r="E74" s="675" t="str">
        <f t="shared" si="3"/>
        <v/>
      </c>
      <c r="F74" s="675" t="str">
        <f t="shared" si="3"/>
        <v/>
      </c>
      <c r="G74" s="680" t="str">
        <f t="shared" si="3"/>
        <v/>
      </c>
      <c r="H74" s="677" t="str">
        <f t="shared" si="3"/>
        <v/>
      </c>
    </row>
    <row r="75" spans="1:15" x14ac:dyDescent="0.25">
      <c r="A75" s="973"/>
      <c r="C75" s="682" t="str">
        <f t="shared" si="3"/>
        <v/>
      </c>
      <c r="D75" s="676" t="str">
        <f t="shared" si="3"/>
        <v/>
      </c>
      <c r="E75" s="675" t="str">
        <f t="shared" si="3"/>
        <v/>
      </c>
      <c r="F75" s="675" t="str">
        <f t="shared" si="3"/>
        <v/>
      </c>
      <c r="G75" s="680" t="str">
        <f t="shared" si="3"/>
        <v/>
      </c>
      <c r="H75" s="677" t="str">
        <f t="shared" si="3"/>
        <v/>
      </c>
    </row>
    <row r="76" spans="1:15" x14ac:dyDescent="0.25">
      <c r="A76" s="973"/>
      <c r="C76" s="682" t="str">
        <f t="shared" si="3"/>
        <v/>
      </c>
      <c r="D76" s="676" t="str">
        <f t="shared" si="3"/>
        <v/>
      </c>
      <c r="E76" s="675" t="str">
        <f t="shared" si="3"/>
        <v/>
      </c>
      <c r="F76" s="675" t="str">
        <f t="shared" si="3"/>
        <v/>
      </c>
      <c r="G76" s="680" t="str">
        <f t="shared" si="3"/>
        <v/>
      </c>
      <c r="H76" s="677" t="str">
        <f t="shared" si="3"/>
        <v/>
      </c>
    </row>
    <row r="77" spans="1:15" x14ac:dyDescent="0.25">
      <c r="A77" s="973"/>
      <c r="B77" s="428"/>
      <c r="C77" s="682" t="str">
        <f t="shared" si="3"/>
        <v/>
      </c>
      <c r="D77" s="676" t="str">
        <f t="shared" si="3"/>
        <v/>
      </c>
      <c r="E77" s="675" t="str">
        <f t="shared" si="3"/>
        <v/>
      </c>
      <c r="F77" s="675" t="str">
        <f t="shared" si="3"/>
        <v/>
      </c>
      <c r="G77" s="680" t="str">
        <f t="shared" si="3"/>
        <v/>
      </c>
      <c r="H77" s="677" t="str">
        <f t="shared" si="3"/>
        <v/>
      </c>
    </row>
    <row r="78" spans="1:15" x14ac:dyDescent="0.25">
      <c r="A78" s="973"/>
      <c r="C78" s="682" t="str">
        <f t="shared" si="3"/>
        <v/>
      </c>
      <c r="D78" s="676" t="str">
        <f t="shared" si="3"/>
        <v/>
      </c>
      <c r="E78" s="675" t="str">
        <f t="shared" si="3"/>
        <v/>
      </c>
      <c r="F78" s="675" t="str">
        <f t="shared" si="3"/>
        <v/>
      </c>
      <c r="G78" s="680" t="str">
        <f t="shared" si="3"/>
        <v/>
      </c>
      <c r="H78" s="677" t="str">
        <f t="shared" si="3"/>
        <v/>
      </c>
    </row>
    <row r="79" spans="1:15" x14ac:dyDescent="0.25">
      <c r="A79" s="973"/>
      <c r="C79" s="682" t="str">
        <f t="shared" si="3"/>
        <v/>
      </c>
      <c r="D79" s="676" t="str">
        <f t="shared" si="3"/>
        <v/>
      </c>
      <c r="E79" s="675" t="str">
        <f t="shared" si="3"/>
        <v/>
      </c>
      <c r="F79" s="675" t="str">
        <f t="shared" si="3"/>
        <v/>
      </c>
      <c r="G79" s="680" t="str">
        <f t="shared" si="3"/>
        <v/>
      </c>
      <c r="H79" s="677" t="str">
        <f t="shared" si="3"/>
        <v/>
      </c>
    </row>
    <row r="80" spans="1:15" x14ac:dyDescent="0.25">
      <c r="A80" s="973"/>
      <c r="C80" s="682" t="str">
        <f t="shared" ref="C80:H82" si="4">IF(C40&lt;&gt;"",C40,"")</f>
        <v/>
      </c>
      <c r="D80" s="676" t="str">
        <f t="shared" si="4"/>
        <v/>
      </c>
      <c r="E80" s="675" t="str">
        <f t="shared" si="4"/>
        <v/>
      </c>
      <c r="F80" s="675" t="str">
        <f t="shared" si="4"/>
        <v/>
      </c>
      <c r="G80" s="680" t="str">
        <f t="shared" si="4"/>
        <v/>
      </c>
      <c r="H80" s="677" t="str">
        <f t="shared" si="4"/>
        <v/>
      </c>
    </row>
    <row r="81" spans="1:9" x14ac:dyDescent="0.25">
      <c r="A81" s="973"/>
      <c r="C81" s="682" t="str">
        <f t="shared" si="4"/>
        <v/>
      </c>
      <c r="D81" s="676" t="str">
        <f t="shared" si="4"/>
        <v/>
      </c>
      <c r="E81" s="675" t="str">
        <f t="shared" si="4"/>
        <v/>
      </c>
      <c r="F81" s="675" t="str">
        <f t="shared" si="4"/>
        <v/>
      </c>
      <c r="G81" s="680" t="str">
        <f t="shared" si="4"/>
        <v/>
      </c>
      <c r="H81" s="677" t="str">
        <f t="shared" si="4"/>
        <v/>
      </c>
    </row>
    <row r="82" spans="1:9" x14ac:dyDescent="0.25">
      <c r="A82" s="973"/>
      <c r="C82" s="682" t="str">
        <f t="shared" si="4"/>
        <v/>
      </c>
      <c r="D82" s="674" t="str">
        <f t="shared" si="4"/>
        <v/>
      </c>
      <c r="E82" s="675" t="str">
        <f t="shared" si="4"/>
        <v/>
      </c>
      <c r="F82" s="675" t="str">
        <f t="shared" si="4"/>
        <v/>
      </c>
      <c r="G82" s="680" t="str">
        <f t="shared" si="4"/>
        <v/>
      </c>
      <c r="H82" s="677" t="str">
        <f t="shared" si="4"/>
        <v/>
      </c>
    </row>
    <row r="83" spans="1:9" x14ac:dyDescent="0.25">
      <c r="A83" s="973"/>
      <c r="C83" s="683"/>
      <c r="D83" s="683"/>
      <c r="E83" s="683"/>
      <c r="F83" s="683"/>
      <c r="G83" s="1040" t="str">
        <f>IF(VSK&lt;&gt;0, SUM(H63:H82),"")</f>
        <v/>
      </c>
      <c r="H83" s="1040"/>
    </row>
    <row r="84" spans="1:9" x14ac:dyDescent="0.25">
      <c r="A84" s="973"/>
    </row>
    <row r="85" spans="1:9" x14ac:dyDescent="0.25">
      <c r="A85" s="973"/>
      <c r="B85" s="428"/>
      <c r="C85" s="425" t="str">
        <f>IF(AND(ZuAbschlag&lt;&gt;0,VSK&lt;&gt;0),"Zu-/Abschlag:","")</f>
        <v/>
      </c>
      <c r="E85" s="444" t="str">
        <f>IF(AND(ZuAbschlag&lt;&gt;0,VSK&lt;&gt;0),ZuAbschlag,"")</f>
        <v/>
      </c>
      <c r="F85" s="733" t="str">
        <f>IF(AND(ZuAbschlag&lt;&gt;0,VSK&lt;&gt;0),G83*E85,"")</f>
        <v/>
      </c>
      <c r="G85" s="426" t="str">
        <f>IF(AND(ZuAbschlag&lt;&gt;0,VSK&lt;&gt;0,F45&lt;&gt;""),F45,"")</f>
        <v/>
      </c>
    </row>
    <row r="86" spans="1:9" ht="15.75" x14ac:dyDescent="0.25">
      <c r="A86" s="973"/>
      <c r="C86" s="425" t="str">
        <f>IF(AND(NK&lt;&gt;0,VSK&lt;&gt;0),"Nebenkosten:","")</f>
        <v/>
      </c>
      <c r="F86" s="733" t="str">
        <f>IF(AND(NK&lt;&gt;0,VSK&lt;&gt;0),NK,"")</f>
        <v/>
      </c>
      <c r="G86" s="426" t="str">
        <f>IF(AND(NK&lt;&gt;0,VSK&lt;&gt;0,F46&lt;&gt;""),F46,"")</f>
        <v/>
      </c>
      <c r="I86" s="445"/>
    </row>
    <row r="87" spans="1:9" x14ac:dyDescent="0.25">
      <c r="A87" s="973"/>
    </row>
    <row r="88" spans="1:9" ht="15.75" x14ac:dyDescent="0.25">
      <c r="A88" s="973"/>
      <c r="C88" s="445" t="s">
        <v>71</v>
      </c>
      <c r="D88" s="445"/>
      <c r="E88" s="445"/>
      <c r="F88" s="445"/>
      <c r="G88" s="1041">
        <f>IF(VSK&gt;0,SUM(F86,F85,G83),0)</f>
        <v>0</v>
      </c>
      <c r="H88" s="1042"/>
    </row>
    <row r="89" spans="1:9" x14ac:dyDescent="0.25">
      <c r="A89" s="973"/>
    </row>
    <row r="90" spans="1:9" x14ac:dyDescent="0.25">
      <c r="A90" s="973"/>
    </row>
    <row r="91" spans="1:9" x14ac:dyDescent="0.25">
      <c r="A91" s="973"/>
    </row>
  </sheetData>
  <mergeCells count="28">
    <mergeCell ref="K63:O67"/>
    <mergeCell ref="G83:H83"/>
    <mergeCell ref="G88:H88"/>
    <mergeCell ref="F45:H45"/>
    <mergeCell ref="F46:H46"/>
    <mergeCell ref="G48:H48"/>
    <mergeCell ref="A50:A91"/>
    <mergeCell ref="B51:I51"/>
    <mergeCell ref="B52:I52"/>
    <mergeCell ref="B53:I53"/>
    <mergeCell ref="B54:I54"/>
    <mergeCell ref="B56:I56"/>
    <mergeCell ref="A1:A49"/>
    <mergeCell ref="C2:H2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3:E3"/>
    <mergeCell ref="C19:F19"/>
  </mergeCells>
  <dataValidations disablePrompts="1" count="3">
    <dataValidation type="decimal" operator="greaterThan" allowBlank="1" showInputMessage="1" showErrorMessage="1" sqref="E46">
      <formula1>-1000000</formula1>
    </dataValidation>
    <dataValidation type="decimal" operator="greaterThan" showInputMessage="1" showErrorMessage="1" sqref="E45">
      <formula1>-1000</formula1>
    </dataValidation>
    <dataValidation type="list" showInputMessage="1" showErrorMessage="1" sqref="E23:E42">
      <formula1>$G$6:$G$19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0070C0"/>
  </sheetPr>
  <dimension ref="A1:BG207"/>
  <sheetViews>
    <sheetView topLeftCell="A142" workbookViewId="0">
      <selection activeCell="P168" sqref="P168"/>
    </sheetView>
  </sheetViews>
  <sheetFormatPr baseColWidth="10" defaultRowHeight="15" x14ac:dyDescent="0.25"/>
  <cols>
    <col min="1" max="1" width="4" customWidth="1"/>
    <col min="9" max="9" width="11.42578125" style="7"/>
    <col min="16" max="16" width="12.7109375" customWidth="1"/>
  </cols>
  <sheetData>
    <row r="1" spans="1:47" ht="15" customHeight="1" x14ac:dyDescent="0.25">
      <c r="A1" s="1158" t="s">
        <v>749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5"/>
      <c r="AE1" s="425"/>
      <c r="AF1" s="425"/>
      <c r="AG1" s="425"/>
      <c r="AH1" s="425"/>
      <c r="AI1" s="425"/>
      <c r="AJ1" s="425"/>
      <c r="AK1" s="425"/>
      <c r="AL1" s="425"/>
      <c r="AM1" s="425"/>
      <c r="AN1" s="425"/>
      <c r="AO1" s="425"/>
      <c r="AP1" s="425"/>
      <c r="AQ1" s="425"/>
      <c r="AR1" s="425"/>
      <c r="AS1" s="425"/>
      <c r="AT1" s="425"/>
      <c r="AU1" s="425"/>
    </row>
    <row r="2" spans="1:47" x14ac:dyDescent="0.25">
      <c r="A2" s="1158"/>
      <c r="B2" s="425"/>
      <c r="C2" s="425"/>
      <c r="D2" s="425"/>
      <c r="E2" s="425"/>
      <c r="F2" s="425" t="s">
        <v>917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  <c r="AJ2" s="425"/>
      <c r="AK2" s="425"/>
      <c r="AL2" s="425"/>
      <c r="AM2" s="425"/>
      <c r="AN2" s="425"/>
      <c r="AO2" s="425"/>
      <c r="AP2" s="425"/>
      <c r="AQ2" s="425"/>
      <c r="AR2" s="425"/>
      <c r="AS2" s="425"/>
      <c r="AT2" s="425"/>
      <c r="AU2" s="425"/>
    </row>
    <row r="3" spans="1:47" x14ac:dyDescent="0.25">
      <c r="A3" s="1158"/>
      <c r="B3" s="425"/>
      <c r="C3" s="934" t="s">
        <v>17</v>
      </c>
      <c r="D3" s="935">
        <v>1</v>
      </c>
      <c r="E3" s="932"/>
      <c r="F3" s="934" t="s">
        <v>294</v>
      </c>
      <c r="G3" s="935">
        <v>1</v>
      </c>
      <c r="H3" s="356" t="s">
        <v>959</v>
      </c>
      <c r="J3" s="934" t="s">
        <v>152</v>
      </c>
      <c r="K3" s="935">
        <v>1</v>
      </c>
      <c r="L3" s="932"/>
      <c r="M3" s="934" t="s">
        <v>913</v>
      </c>
      <c r="N3" s="940">
        <v>1</v>
      </c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425"/>
      <c r="AR3" s="425"/>
      <c r="AS3" s="425"/>
      <c r="AT3" s="425"/>
      <c r="AU3" s="425"/>
    </row>
    <row r="4" spans="1:47" x14ac:dyDescent="0.25">
      <c r="A4" s="1158"/>
      <c r="B4" s="425"/>
      <c r="C4" s="933" t="s">
        <v>20</v>
      </c>
      <c r="D4" s="936">
        <v>1.6</v>
      </c>
      <c r="E4" s="932"/>
      <c r="F4" s="933" t="s">
        <v>209</v>
      </c>
      <c r="G4" s="936">
        <v>1.2</v>
      </c>
      <c r="H4" s="356" t="s">
        <v>918</v>
      </c>
      <c r="J4" s="937" t="s">
        <v>153</v>
      </c>
      <c r="K4" s="938">
        <v>0</v>
      </c>
      <c r="L4" s="932"/>
      <c r="M4" s="933" t="s">
        <v>914</v>
      </c>
      <c r="N4" s="941">
        <v>1</v>
      </c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5"/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5"/>
      <c r="AK4" s="425"/>
      <c r="AL4" s="425"/>
      <c r="AM4" s="425"/>
      <c r="AN4" s="425"/>
      <c r="AO4" s="425"/>
      <c r="AP4" s="425"/>
      <c r="AQ4" s="425"/>
      <c r="AR4" s="425"/>
      <c r="AS4" s="425"/>
      <c r="AT4" s="425"/>
      <c r="AU4" s="425"/>
    </row>
    <row r="5" spans="1:47" x14ac:dyDescent="0.25">
      <c r="A5" s="1158"/>
      <c r="B5" s="425"/>
      <c r="C5" s="933" t="s">
        <v>23</v>
      </c>
      <c r="D5" s="936">
        <v>2.2000000000000002</v>
      </c>
      <c r="E5" s="932"/>
      <c r="F5" s="937" t="s">
        <v>915</v>
      </c>
      <c r="G5" s="938">
        <v>1.4</v>
      </c>
      <c r="H5" s="356" t="s">
        <v>919</v>
      </c>
      <c r="J5" s="932"/>
      <c r="K5" s="932"/>
      <c r="L5" s="932"/>
      <c r="M5" s="933" t="s">
        <v>153</v>
      </c>
      <c r="N5" s="941">
        <v>0</v>
      </c>
      <c r="O5" s="425"/>
      <c r="P5" s="425"/>
      <c r="Q5" s="425"/>
      <c r="R5" s="425"/>
      <c r="S5" s="425"/>
      <c r="T5" s="425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5"/>
      <c r="AF5" s="425"/>
      <c r="AG5" s="425"/>
      <c r="AH5" s="425"/>
      <c r="AI5" s="425"/>
      <c r="AJ5" s="425"/>
      <c r="AK5" s="425"/>
      <c r="AL5" s="425"/>
      <c r="AM5" s="425"/>
      <c r="AN5" s="425"/>
      <c r="AO5" s="425"/>
      <c r="AP5" s="425"/>
      <c r="AQ5" s="425"/>
      <c r="AR5" s="425"/>
      <c r="AS5" s="425"/>
      <c r="AT5" s="425"/>
      <c r="AU5" s="425"/>
    </row>
    <row r="6" spans="1:47" x14ac:dyDescent="0.25">
      <c r="A6" s="1158"/>
      <c r="B6" s="425"/>
      <c r="C6" s="933" t="s">
        <v>18</v>
      </c>
      <c r="D6" s="936">
        <v>1.3</v>
      </c>
      <c r="E6" s="932"/>
      <c r="F6" s="932"/>
      <c r="G6" s="932"/>
      <c r="H6" s="932"/>
      <c r="J6" s="934" t="s">
        <v>152</v>
      </c>
      <c r="K6" s="1175">
        <v>1</v>
      </c>
      <c r="L6" s="932"/>
      <c r="M6" s="939" t="s">
        <v>916</v>
      </c>
      <c r="N6" s="942">
        <v>2</v>
      </c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</row>
    <row r="7" spans="1:47" x14ac:dyDescent="0.25">
      <c r="A7" s="1158"/>
      <c r="B7" s="425"/>
      <c r="C7" s="933" t="s">
        <v>21</v>
      </c>
      <c r="D7" s="936">
        <v>2.1</v>
      </c>
      <c r="E7" s="932"/>
      <c r="F7" s="932"/>
      <c r="G7" s="932"/>
      <c r="H7" s="932"/>
      <c r="J7" s="937" t="s">
        <v>153</v>
      </c>
      <c r="K7" s="938">
        <v>0</v>
      </c>
      <c r="L7" s="932"/>
      <c r="M7" s="932"/>
      <c r="N7" s="932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425"/>
      <c r="AD7" s="425"/>
      <c r="AE7" s="425"/>
      <c r="AF7" s="425"/>
      <c r="AG7" s="425"/>
      <c r="AH7" s="425"/>
      <c r="AI7" s="425"/>
      <c r="AJ7" s="425"/>
      <c r="AK7" s="425"/>
      <c r="AL7" s="425"/>
      <c r="AM7" s="425"/>
      <c r="AN7" s="425"/>
      <c r="AO7" s="425"/>
      <c r="AP7" s="425"/>
      <c r="AQ7" s="425"/>
      <c r="AR7" s="425"/>
      <c r="AS7" s="425"/>
      <c r="AT7" s="425"/>
      <c r="AU7" s="425"/>
    </row>
    <row r="8" spans="1:47" x14ac:dyDescent="0.25">
      <c r="A8" s="1158"/>
      <c r="B8" s="425"/>
      <c r="C8" s="933" t="s">
        <v>24</v>
      </c>
      <c r="D8" s="936">
        <v>2.9</v>
      </c>
      <c r="E8" s="932"/>
      <c r="F8" s="932"/>
      <c r="G8" s="932"/>
      <c r="H8" s="932"/>
      <c r="I8" s="932"/>
      <c r="J8" s="932"/>
      <c r="K8" s="932"/>
      <c r="L8" s="932"/>
      <c r="M8" s="932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5"/>
      <c r="AE8" s="425"/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5"/>
      <c r="AQ8" s="425"/>
      <c r="AR8" s="425"/>
      <c r="AS8" s="425"/>
      <c r="AT8" s="425"/>
      <c r="AU8" s="425"/>
    </row>
    <row r="9" spans="1:47" x14ac:dyDescent="0.25">
      <c r="A9" s="1158"/>
      <c r="B9" s="425"/>
      <c r="C9" s="933" t="s">
        <v>19</v>
      </c>
      <c r="D9" s="936">
        <v>1.6</v>
      </c>
      <c r="E9" s="932"/>
      <c r="F9" s="932"/>
      <c r="G9" s="932"/>
      <c r="H9" s="932"/>
      <c r="I9" s="932"/>
      <c r="J9" s="932"/>
      <c r="K9" s="932"/>
      <c r="L9" s="932"/>
      <c r="M9" s="932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425"/>
      <c r="AD9" s="425"/>
      <c r="AE9" s="425"/>
      <c r="AF9" s="425"/>
      <c r="AG9" s="425"/>
      <c r="AH9" s="425"/>
      <c r="AI9" s="425"/>
      <c r="AJ9" s="425"/>
      <c r="AK9" s="425"/>
      <c r="AL9" s="425"/>
      <c r="AM9" s="425"/>
      <c r="AN9" s="425"/>
      <c r="AO9" s="425"/>
      <c r="AP9" s="425"/>
      <c r="AQ9" s="425"/>
      <c r="AR9" s="425"/>
      <c r="AS9" s="425"/>
      <c r="AT9" s="425"/>
      <c r="AU9" s="425"/>
    </row>
    <row r="10" spans="1:47" x14ac:dyDescent="0.25">
      <c r="A10" s="1158"/>
      <c r="B10" s="425"/>
      <c r="C10" s="933" t="s">
        <v>22</v>
      </c>
      <c r="D10" s="936">
        <v>2.6</v>
      </c>
      <c r="E10" s="932"/>
      <c r="F10" s="932"/>
      <c r="G10" s="932"/>
      <c r="H10" s="932"/>
      <c r="I10" s="932"/>
      <c r="J10" s="932"/>
      <c r="K10" s="932"/>
      <c r="L10" s="932"/>
      <c r="M10" s="932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5"/>
      <c r="AD10" s="425"/>
      <c r="AE10" s="425"/>
      <c r="AF10" s="425"/>
      <c r="AG10" s="425"/>
      <c r="AH10" s="425"/>
      <c r="AI10" s="425"/>
      <c r="AJ10" s="425"/>
      <c r="AK10" s="425"/>
      <c r="AL10" s="425"/>
      <c r="AM10" s="425"/>
      <c r="AN10" s="425"/>
      <c r="AO10" s="425"/>
      <c r="AP10" s="425"/>
      <c r="AQ10" s="425"/>
      <c r="AR10" s="425"/>
      <c r="AS10" s="425"/>
      <c r="AT10" s="425"/>
      <c r="AU10" s="425"/>
    </row>
    <row r="11" spans="1:47" x14ac:dyDescent="0.25">
      <c r="A11" s="1158"/>
      <c r="B11" s="425"/>
      <c r="C11" s="937" t="s">
        <v>25</v>
      </c>
      <c r="D11" s="938">
        <v>3.5</v>
      </c>
      <c r="E11" s="932"/>
      <c r="F11" s="932"/>
      <c r="G11" s="932"/>
      <c r="H11" s="932"/>
      <c r="I11" s="932"/>
      <c r="J11" s="932"/>
      <c r="K11" s="932"/>
      <c r="L11" s="932"/>
      <c r="M11" s="932"/>
      <c r="N11" s="425"/>
      <c r="O11" s="425"/>
      <c r="P11" s="425"/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A11" s="425"/>
      <c r="AB11" s="425"/>
      <c r="AC11" s="425"/>
      <c r="AD11" s="425"/>
      <c r="AE11" s="425"/>
      <c r="AF11" s="425"/>
      <c r="AG11" s="425"/>
      <c r="AH11" s="425"/>
      <c r="AI11" s="425"/>
      <c r="AJ11" s="425"/>
      <c r="AK11" s="425"/>
      <c r="AL11" s="425"/>
      <c r="AM11" s="425"/>
      <c r="AN11" s="425"/>
      <c r="AO11" s="425"/>
      <c r="AP11" s="425"/>
      <c r="AQ11" s="425"/>
      <c r="AR11" s="425"/>
      <c r="AS11" s="425"/>
      <c r="AT11" s="425"/>
      <c r="AU11" s="425"/>
    </row>
    <row r="12" spans="1:47" x14ac:dyDescent="0.25">
      <c r="A12" s="1158"/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5"/>
      <c r="AC12" s="425"/>
      <c r="AD12" s="425"/>
      <c r="AE12" s="425"/>
      <c r="AF12" s="425"/>
      <c r="AG12" s="425"/>
      <c r="AH12" s="425"/>
      <c r="AI12" s="425"/>
      <c r="AJ12" s="425"/>
      <c r="AK12" s="425"/>
      <c r="AL12" s="425"/>
      <c r="AM12" s="425"/>
      <c r="AN12" s="425"/>
      <c r="AO12" s="425"/>
      <c r="AP12" s="425"/>
      <c r="AQ12" s="425"/>
      <c r="AR12" s="425"/>
      <c r="AS12" s="425"/>
      <c r="AT12" s="425"/>
      <c r="AU12" s="425"/>
    </row>
    <row r="13" spans="1:47" x14ac:dyDescent="0.25">
      <c r="A13" s="1158"/>
      <c r="B13" s="425"/>
      <c r="C13" s="425"/>
      <c r="D13" s="425"/>
      <c r="E13" s="425"/>
      <c r="F13" s="425"/>
      <c r="G13" s="425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5"/>
      <c r="AC13" s="425"/>
      <c r="AD13" s="425"/>
      <c r="AE13" s="425"/>
      <c r="AF13" s="425"/>
      <c r="AG13" s="425"/>
      <c r="AH13" s="425"/>
      <c r="AI13" s="425"/>
      <c r="AJ13" s="425"/>
      <c r="AK13" s="425"/>
      <c r="AL13" s="425"/>
      <c r="AM13" s="425"/>
      <c r="AN13" s="425"/>
      <c r="AO13" s="425"/>
      <c r="AP13" s="425"/>
      <c r="AQ13" s="425"/>
      <c r="AR13" s="425"/>
      <c r="AS13" s="425"/>
      <c r="AT13" s="425"/>
      <c r="AU13" s="425"/>
    </row>
    <row r="14" spans="1:47" x14ac:dyDescent="0.25">
      <c r="A14" s="1158"/>
      <c r="B14" s="425"/>
      <c r="C14" s="425"/>
      <c r="D14" s="425"/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5"/>
      <c r="AC14" s="425"/>
      <c r="AD14" s="425"/>
      <c r="AE14" s="425"/>
      <c r="AF14" s="425"/>
      <c r="AG14" s="425"/>
      <c r="AH14" s="425"/>
      <c r="AI14" s="425"/>
      <c r="AJ14" s="425"/>
      <c r="AK14" s="425"/>
      <c r="AL14" s="425"/>
      <c r="AM14" s="425"/>
      <c r="AN14" s="425"/>
      <c r="AO14" s="425"/>
      <c r="AP14" s="425"/>
      <c r="AQ14" s="425"/>
      <c r="AR14" s="425"/>
      <c r="AS14" s="425"/>
      <c r="AT14" s="425"/>
      <c r="AU14" s="425"/>
    </row>
    <row r="15" spans="1:47" x14ac:dyDescent="0.25">
      <c r="A15" s="1158"/>
      <c r="B15" s="425"/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  <c r="U15" s="425"/>
      <c r="V15" s="425"/>
      <c r="W15" s="425"/>
      <c r="X15" s="425"/>
      <c r="Y15" s="425"/>
      <c r="Z15" s="425"/>
      <c r="AA15" s="425"/>
      <c r="AB15" s="425"/>
      <c r="AC15" s="425"/>
      <c r="AD15" s="425"/>
      <c r="AE15" s="425"/>
      <c r="AF15" s="425"/>
      <c r="AG15" s="425"/>
      <c r="AH15" s="425"/>
      <c r="AI15" s="425"/>
      <c r="AJ15" s="425"/>
      <c r="AK15" s="425"/>
      <c r="AL15" s="425"/>
      <c r="AM15" s="425"/>
      <c r="AN15" s="425"/>
      <c r="AO15" s="425"/>
      <c r="AP15" s="425"/>
      <c r="AQ15" s="425"/>
      <c r="AR15" s="425"/>
      <c r="AS15" s="425"/>
      <c r="AT15" s="425"/>
      <c r="AU15" s="425"/>
    </row>
    <row r="16" spans="1:47" x14ac:dyDescent="0.25">
      <c r="A16" s="1158"/>
      <c r="B16" s="425"/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U16" s="425"/>
      <c r="V16" s="425"/>
      <c r="W16" s="425"/>
      <c r="X16" s="425"/>
      <c r="Y16" s="425"/>
      <c r="Z16" s="425"/>
      <c r="AA16" s="425"/>
      <c r="AB16" s="425"/>
      <c r="AC16" s="425"/>
      <c r="AD16" s="425"/>
      <c r="AE16" s="425"/>
      <c r="AF16" s="425"/>
      <c r="AG16" s="425"/>
      <c r="AH16" s="425"/>
      <c r="AI16" s="425"/>
      <c r="AJ16" s="425"/>
      <c r="AK16" s="425"/>
      <c r="AL16" s="425"/>
      <c r="AM16" s="425"/>
      <c r="AN16" s="425"/>
      <c r="AO16" s="425"/>
      <c r="AP16" s="425"/>
      <c r="AQ16" s="425"/>
      <c r="AR16" s="425"/>
      <c r="AS16" s="425"/>
      <c r="AT16" s="425"/>
      <c r="AU16" s="425"/>
    </row>
    <row r="17" spans="1:59" x14ac:dyDescent="0.25">
      <c r="A17" s="1158"/>
      <c r="B17" s="425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5"/>
      <c r="AH17" s="425"/>
      <c r="AI17" s="425"/>
      <c r="AJ17" s="425"/>
      <c r="AK17" s="425"/>
      <c r="AL17" s="425"/>
      <c r="AM17" s="425"/>
      <c r="AN17" s="425"/>
      <c r="AO17" s="425"/>
      <c r="AP17" s="425"/>
      <c r="AQ17" s="425"/>
      <c r="AR17" s="425"/>
      <c r="AS17" s="425"/>
      <c r="AT17" s="425"/>
      <c r="AU17" s="425"/>
    </row>
    <row r="18" spans="1:59" x14ac:dyDescent="0.25">
      <c r="A18" s="1158"/>
      <c r="B18" s="425"/>
      <c r="C18" s="425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/>
      <c r="AC18" s="425"/>
      <c r="AD18" s="425"/>
      <c r="AE18" s="425"/>
      <c r="AF18" s="425"/>
      <c r="AG18" s="425"/>
      <c r="AH18" s="425"/>
      <c r="AI18" s="425"/>
      <c r="AJ18" s="425"/>
      <c r="AK18" s="425"/>
      <c r="AL18" s="425"/>
      <c r="AM18" s="425"/>
      <c r="AN18" s="425"/>
      <c r="AO18" s="425"/>
      <c r="AP18" s="425"/>
      <c r="AQ18" s="425"/>
      <c r="AR18" s="425"/>
      <c r="AS18" s="425"/>
      <c r="AT18" s="425"/>
      <c r="AU18" s="425"/>
    </row>
    <row r="19" spans="1:59" s="5" customFormat="1" ht="15.75" thickBot="1" x14ac:dyDescent="0.3">
      <c r="A19" s="1159"/>
      <c r="B19" s="425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5"/>
      <c r="AH19" s="425"/>
      <c r="AI19" s="425"/>
      <c r="AJ19" s="425"/>
      <c r="AK19" s="425"/>
      <c r="AL19" s="425"/>
      <c r="AM19" s="425"/>
      <c r="AN19" s="425"/>
      <c r="AO19" s="425"/>
      <c r="AP19" s="425"/>
      <c r="AQ19" s="425"/>
      <c r="AR19" s="425"/>
      <c r="AS19" s="425"/>
      <c r="AT19" s="425"/>
      <c r="AU19" s="425"/>
    </row>
    <row r="20" spans="1:59" s="6" customFormat="1" ht="15.75" customHeight="1" thickTop="1" x14ac:dyDescent="0.25">
      <c r="A20" s="1157" t="s">
        <v>750</v>
      </c>
      <c r="B20" s="6" t="s">
        <v>504</v>
      </c>
      <c r="I20" s="9"/>
      <c r="V20" s="402"/>
      <c r="W20" s="120" t="s">
        <v>505</v>
      </c>
      <c r="AR20" s="402"/>
      <c r="AS20" s="120" t="s">
        <v>93</v>
      </c>
    </row>
    <row r="21" spans="1:59" ht="15.75" thickBot="1" x14ac:dyDescent="0.3">
      <c r="A21" s="1158"/>
      <c r="C21" t="s">
        <v>506</v>
      </c>
      <c r="G21" s="400" t="s">
        <v>226</v>
      </c>
      <c r="I21" s="7" t="s">
        <v>507</v>
      </c>
      <c r="P21" s="7" t="s">
        <v>508</v>
      </c>
      <c r="V21" s="403"/>
      <c r="W21" s="121"/>
      <c r="AR21" s="403"/>
      <c r="AS21" s="121"/>
    </row>
    <row r="22" spans="1:59" x14ac:dyDescent="0.25">
      <c r="A22" s="1158"/>
      <c r="C22" t="s">
        <v>315</v>
      </c>
      <c r="G22" s="400">
        <v>1</v>
      </c>
      <c r="I22" s="404" t="s">
        <v>509</v>
      </c>
      <c r="J22" s="1173" t="s">
        <v>510</v>
      </c>
      <c r="K22" s="1147"/>
      <c r="L22" s="1147"/>
      <c r="M22" s="1147"/>
      <c r="N22" s="1174"/>
      <c r="P22" s="405" t="s">
        <v>284</v>
      </c>
      <c r="Q22" s="1146" t="s">
        <v>511</v>
      </c>
      <c r="R22" s="1147"/>
      <c r="S22" s="1147"/>
      <c r="T22" s="1147"/>
      <c r="U22" s="406" t="s">
        <v>512</v>
      </c>
      <c r="V22" s="403"/>
      <c r="W22" s="121"/>
      <c r="X22" t="s">
        <v>298</v>
      </c>
      <c r="AE22" s="57" t="s">
        <v>28</v>
      </c>
      <c r="AF22" s="58" t="s">
        <v>155</v>
      </c>
      <c r="AR22" s="403"/>
      <c r="AS22" s="121"/>
      <c r="AT22" t="s">
        <v>298</v>
      </c>
    </row>
    <row r="23" spans="1:59" ht="15.75" thickBot="1" x14ac:dyDescent="0.3">
      <c r="A23" s="1158"/>
      <c r="C23" t="s">
        <v>513</v>
      </c>
      <c r="G23" s="400">
        <v>0.75</v>
      </c>
      <c r="I23" s="407"/>
      <c r="J23" s="408">
        <v>100</v>
      </c>
      <c r="K23" s="408">
        <v>200</v>
      </c>
      <c r="L23" s="408">
        <v>300</v>
      </c>
      <c r="M23" s="408">
        <v>400</v>
      </c>
      <c r="N23" s="408">
        <v>600</v>
      </c>
      <c r="P23" s="407"/>
      <c r="Q23" s="408">
        <v>2000</v>
      </c>
      <c r="R23" s="408">
        <v>7000</v>
      </c>
      <c r="S23" s="408">
        <v>12000</v>
      </c>
      <c r="T23" s="409">
        <v>25000</v>
      </c>
      <c r="U23" s="410">
        <v>50000</v>
      </c>
      <c r="V23" s="403"/>
      <c r="W23" s="121"/>
      <c r="X23" t="s">
        <v>514</v>
      </c>
      <c r="AE23" s="59" t="s">
        <v>17</v>
      </c>
      <c r="AF23" s="61">
        <v>1</v>
      </c>
      <c r="AG23">
        <v>1</v>
      </c>
      <c r="AH23" s="47" t="s">
        <v>515</v>
      </c>
      <c r="AI23" s="45"/>
      <c r="AJ23" s="45"/>
      <c r="AK23" s="45"/>
      <c r="AL23" s="45"/>
      <c r="AN23">
        <v>2.319</v>
      </c>
      <c r="AO23">
        <v>2.355</v>
      </c>
      <c r="AP23">
        <v>0.34699999999999998</v>
      </c>
      <c r="AQ23">
        <v>0.64</v>
      </c>
      <c r="AR23" s="403"/>
      <c r="AS23" s="121"/>
      <c r="AT23" t="s">
        <v>516</v>
      </c>
      <c r="AZ23" t="s">
        <v>517</v>
      </c>
      <c r="BE23">
        <v>1.4159999999999999</v>
      </c>
      <c r="BF23">
        <v>7.8209999999999997</v>
      </c>
      <c r="BG23">
        <v>1</v>
      </c>
    </row>
    <row r="24" spans="1:59" ht="16.5" thickTop="1" thickBot="1" x14ac:dyDescent="0.3">
      <c r="A24" s="1158"/>
      <c r="C24" t="s">
        <v>518</v>
      </c>
      <c r="G24" s="400">
        <v>1</v>
      </c>
      <c r="I24" s="411">
        <v>4</v>
      </c>
      <c r="J24" s="412">
        <v>40.5</v>
      </c>
      <c r="K24" s="412">
        <v>49.8</v>
      </c>
      <c r="L24" s="412">
        <v>55.62</v>
      </c>
      <c r="M24" s="412">
        <v>59.33</v>
      </c>
      <c r="N24" s="412">
        <v>62.09</v>
      </c>
      <c r="P24" s="413" t="s">
        <v>519</v>
      </c>
      <c r="Q24" s="414">
        <v>24.13</v>
      </c>
      <c r="R24" s="414">
        <v>30.29</v>
      </c>
      <c r="S24" s="414">
        <v>33.549999999999997</v>
      </c>
      <c r="T24" s="415">
        <v>36.549999999999997</v>
      </c>
      <c r="U24" s="416">
        <v>36.549999999999997</v>
      </c>
      <c r="V24" s="403"/>
      <c r="W24" s="121"/>
      <c r="X24" t="s">
        <v>339</v>
      </c>
      <c r="AE24" s="59" t="s">
        <v>18</v>
      </c>
      <c r="AF24" s="61">
        <v>1.3</v>
      </c>
      <c r="AG24">
        <v>2</v>
      </c>
      <c r="AH24" s="47" t="s">
        <v>520</v>
      </c>
      <c r="AI24" s="45"/>
      <c r="AJ24" s="45"/>
      <c r="AK24" s="45"/>
      <c r="AL24" s="45"/>
      <c r="AN24">
        <v>2.319</v>
      </c>
      <c r="AO24">
        <v>1.694</v>
      </c>
      <c r="AP24">
        <v>0.124</v>
      </c>
      <c r="AQ24">
        <v>0.64</v>
      </c>
      <c r="AR24" s="403"/>
      <c r="AS24" s="121"/>
      <c r="AT24" t="s">
        <v>521</v>
      </c>
      <c r="AZ24" t="s">
        <v>522</v>
      </c>
      <c r="BE24">
        <v>0.47399999999999998</v>
      </c>
      <c r="BF24">
        <v>6.8090000000000002</v>
      </c>
      <c r="BG24">
        <v>1</v>
      </c>
    </row>
    <row r="25" spans="1:59" ht="15.75" thickBot="1" x14ac:dyDescent="0.3">
      <c r="A25" s="1158"/>
      <c r="C25" t="s">
        <v>523</v>
      </c>
      <c r="G25" s="400">
        <v>0.65</v>
      </c>
      <c r="I25" s="411">
        <v>5</v>
      </c>
      <c r="J25" s="412">
        <v>56.34</v>
      </c>
      <c r="K25" s="412">
        <v>69.31</v>
      </c>
      <c r="L25" s="412">
        <v>77.44</v>
      </c>
      <c r="M25" s="412">
        <v>82.61</v>
      </c>
      <c r="N25" s="412">
        <v>86.46</v>
      </c>
      <c r="P25" s="413" t="s">
        <v>524</v>
      </c>
      <c r="Q25" s="414">
        <v>6.83</v>
      </c>
      <c r="R25" s="414">
        <v>7.69</v>
      </c>
      <c r="S25" s="414">
        <v>8.15</v>
      </c>
      <c r="T25" s="415">
        <v>8.56</v>
      </c>
      <c r="U25" s="417">
        <v>8.56</v>
      </c>
      <c r="V25" s="403"/>
      <c r="W25" s="121"/>
      <c r="X25" t="s">
        <v>525</v>
      </c>
      <c r="AE25" s="59" t="s">
        <v>19</v>
      </c>
      <c r="AF25" s="61">
        <v>1.6</v>
      </c>
      <c r="AG25">
        <v>3</v>
      </c>
      <c r="AH25" s="47" t="s">
        <v>526</v>
      </c>
      <c r="AI25" s="45"/>
      <c r="AJ25" s="45"/>
      <c r="AK25" s="45"/>
      <c r="AL25" s="45"/>
      <c r="AN25">
        <v>2.319</v>
      </c>
      <c r="AO25">
        <v>2.355</v>
      </c>
      <c r="AP25">
        <v>0.49199999999999999</v>
      </c>
      <c r="AQ25">
        <v>0.64</v>
      </c>
      <c r="AR25" s="403"/>
      <c r="AS25" s="121"/>
      <c r="AT25" t="s">
        <v>348</v>
      </c>
      <c r="AZ25" t="s">
        <v>527</v>
      </c>
      <c r="BE25">
        <v>1.4159999999999999</v>
      </c>
      <c r="BF25">
        <v>7.8209999999999997</v>
      </c>
      <c r="BG25">
        <v>1.1539999999999999</v>
      </c>
    </row>
    <row r="26" spans="1:59" ht="15.75" thickBot="1" x14ac:dyDescent="0.3">
      <c r="A26" s="1158"/>
      <c r="I26" s="411">
        <v>6</v>
      </c>
      <c r="J26" s="412">
        <v>70.3</v>
      </c>
      <c r="K26" s="412">
        <v>86.44</v>
      </c>
      <c r="L26" s="412">
        <v>96.56</v>
      </c>
      <c r="M26" s="412">
        <v>102.99</v>
      </c>
      <c r="N26" s="412">
        <v>107.79</v>
      </c>
      <c r="V26" s="403"/>
      <c r="W26" s="121"/>
      <c r="X26" t="s">
        <v>528</v>
      </c>
      <c r="AE26" s="59" t="s">
        <v>20</v>
      </c>
      <c r="AF26" s="61">
        <v>1.1499999999999999</v>
      </c>
      <c r="AG26">
        <v>4</v>
      </c>
      <c r="AH26" s="47" t="s">
        <v>529</v>
      </c>
      <c r="AI26" s="45"/>
      <c r="AJ26" s="45"/>
      <c r="AK26" s="45"/>
      <c r="AL26" s="45"/>
      <c r="AN26">
        <v>2.319</v>
      </c>
      <c r="AO26">
        <v>1.694</v>
      </c>
      <c r="AP26">
        <v>0.25900000000000001</v>
      </c>
      <c r="AQ26">
        <v>0.64</v>
      </c>
      <c r="AR26" s="403"/>
      <c r="AS26" s="121"/>
      <c r="AT26" t="s">
        <v>530</v>
      </c>
      <c r="AZ26" t="s">
        <v>531</v>
      </c>
      <c r="BE26">
        <v>0.47399999999999998</v>
      </c>
      <c r="BF26">
        <v>6.8090000000000002</v>
      </c>
      <c r="BG26">
        <v>1.1539999999999999</v>
      </c>
    </row>
    <row r="27" spans="1:59" ht="15.75" thickBot="1" x14ac:dyDescent="0.3">
      <c r="A27" s="1158"/>
      <c r="C27" t="s">
        <v>379</v>
      </c>
      <c r="E27" t="s">
        <v>532</v>
      </c>
      <c r="I27" s="411">
        <v>7</v>
      </c>
      <c r="J27" s="412">
        <v>82.94</v>
      </c>
      <c r="K27" s="412">
        <v>101.75</v>
      </c>
      <c r="L27" s="412">
        <v>113.65</v>
      </c>
      <c r="M27" s="412">
        <v>121.22</v>
      </c>
      <c r="N27" s="412">
        <v>127.36</v>
      </c>
      <c r="V27" s="403"/>
      <c r="W27" s="121"/>
      <c r="AE27" s="59" t="s">
        <v>21</v>
      </c>
      <c r="AF27" s="61">
        <v>1.45</v>
      </c>
      <c r="AG27" t="s">
        <v>533</v>
      </c>
      <c r="AH27" s="47"/>
      <c r="AI27" s="45"/>
      <c r="AJ27" s="45"/>
      <c r="AK27" s="45"/>
      <c r="AL27" s="45"/>
      <c r="AR27" s="403"/>
      <c r="AS27" s="121"/>
    </row>
    <row r="28" spans="1:59" ht="15.75" thickBot="1" x14ac:dyDescent="0.3">
      <c r="A28" s="1158"/>
      <c r="C28" t="s">
        <v>534</v>
      </c>
      <c r="D28" s="399">
        <v>0.85</v>
      </c>
      <c r="E28" s="1" t="s">
        <v>534</v>
      </c>
      <c r="F28" s="399">
        <v>1.2</v>
      </c>
      <c r="I28" s="411" t="s">
        <v>535</v>
      </c>
      <c r="J28" s="412">
        <v>11.74</v>
      </c>
      <c r="K28" s="412">
        <v>14.54</v>
      </c>
      <c r="L28" s="412">
        <v>16.23</v>
      </c>
      <c r="M28" s="412">
        <v>17.32</v>
      </c>
      <c r="N28" s="412">
        <v>18.12</v>
      </c>
      <c r="V28" s="403"/>
      <c r="W28" s="121"/>
      <c r="AE28" s="59" t="s">
        <v>22</v>
      </c>
      <c r="AF28" s="61">
        <v>1.75</v>
      </c>
      <c r="AG28">
        <v>5</v>
      </c>
      <c r="AH28" s="47" t="s">
        <v>536</v>
      </c>
      <c r="AI28" s="45"/>
      <c r="AJ28" s="45"/>
      <c r="AK28" s="45"/>
      <c r="AL28" s="45"/>
      <c r="AN28">
        <v>1.228</v>
      </c>
      <c r="AO28">
        <v>1.7589999999999999</v>
      </c>
      <c r="AP28">
        <v>0.29099999999999998</v>
      </c>
      <c r="AQ28">
        <v>0.63900000000000001</v>
      </c>
      <c r="AR28" s="403"/>
      <c r="AS28" s="121"/>
    </row>
    <row r="29" spans="1:59" x14ac:dyDescent="0.25">
      <c r="A29" s="1158"/>
      <c r="C29" t="s">
        <v>311</v>
      </c>
      <c r="D29" s="399">
        <v>1</v>
      </c>
      <c r="E29" s="1" t="s">
        <v>311</v>
      </c>
      <c r="F29" s="399">
        <v>1</v>
      </c>
      <c r="V29" s="403"/>
      <c r="W29" s="121"/>
      <c r="X29" t="s">
        <v>537</v>
      </c>
      <c r="AA29" t="s">
        <v>506</v>
      </c>
      <c r="AE29" s="59" t="s">
        <v>23</v>
      </c>
      <c r="AF29" s="61">
        <v>1.4</v>
      </c>
      <c r="AG29">
        <v>6</v>
      </c>
      <c r="AH29" s="47" t="s">
        <v>538</v>
      </c>
      <c r="AI29" s="45"/>
      <c r="AJ29" s="45"/>
      <c r="AK29" s="45"/>
      <c r="AL29" s="45"/>
      <c r="AN29">
        <v>1.228</v>
      </c>
      <c r="AO29">
        <v>1.173</v>
      </c>
      <c r="AP29">
        <v>5.8000000000000003E-2</v>
      </c>
      <c r="AQ29">
        <v>0.63900000000000001</v>
      </c>
      <c r="AR29" s="403"/>
      <c r="AS29" s="121"/>
    </row>
    <row r="30" spans="1:59" x14ac:dyDescent="0.25">
      <c r="A30" s="1158"/>
      <c r="G30" s="400"/>
      <c r="V30" s="403"/>
      <c r="W30" s="121"/>
      <c r="X30" t="s">
        <v>539</v>
      </c>
      <c r="Z30" s="1">
        <v>0</v>
      </c>
      <c r="AA30" t="s">
        <v>540</v>
      </c>
      <c r="AE30" s="59" t="s">
        <v>24</v>
      </c>
      <c r="AF30" s="61">
        <v>1.75</v>
      </c>
      <c r="AG30">
        <v>7</v>
      </c>
      <c r="AH30" s="47" t="s">
        <v>541</v>
      </c>
      <c r="AI30" s="45"/>
      <c r="AJ30" s="45"/>
      <c r="AK30" s="45"/>
      <c r="AL30" s="45"/>
      <c r="AN30">
        <v>1.228</v>
      </c>
      <c r="AO30">
        <v>1.7589999999999999</v>
      </c>
      <c r="AP30">
        <v>0.38500000000000001</v>
      </c>
      <c r="AQ30">
        <v>0.63900000000000001</v>
      </c>
      <c r="AR30" s="403"/>
      <c r="AS30" s="121"/>
    </row>
    <row r="31" spans="1:59" x14ac:dyDescent="0.25">
      <c r="A31" s="1158"/>
      <c r="C31" t="s">
        <v>542</v>
      </c>
      <c r="E31" s="380" t="s">
        <v>543</v>
      </c>
      <c r="F31" s="418"/>
      <c r="M31" s="47" t="s">
        <v>544</v>
      </c>
      <c r="V31" s="403"/>
      <c r="W31" s="121"/>
      <c r="X31" t="s">
        <v>341</v>
      </c>
      <c r="Z31" s="1">
        <v>4</v>
      </c>
      <c r="AA31" t="s">
        <v>545</v>
      </c>
      <c r="AE31" s="59" t="s">
        <v>25</v>
      </c>
      <c r="AF31" s="61">
        <v>2</v>
      </c>
      <c r="AG31">
        <v>8</v>
      </c>
      <c r="AH31" s="47" t="s">
        <v>546</v>
      </c>
      <c r="AI31" s="45"/>
      <c r="AJ31" s="45"/>
      <c r="AK31" s="45"/>
      <c r="AL31" s="45"/>
      <c r="AN31">
        <v>1.228</v>
      </c>
      <c r="AO31">
        <v>1.173</v>
      </c>
      <c r="AP31">
        <v>0.152</v>
      </c>
      <c r="AQ31">
        <v>0.63900000000000001</v>
      </c>
      <c r="AR31" s="403"/>
      <c r="AS31" s="121"/>
    </row>
    <row r="32" spans="1:59" x14ac:dyDescent="0.25">
      <c r="A32" s="1158"/>
      <c r="C32" t="s">
        <v>508</v>
      </c>
      <c r="E32" t="s">
        <v>547</v>
      </c>
      <c r="M32" s="47" t="s">
        <v>548</v>
      </c>
      <c r="V32" s="403"/>
      <c r="W32" s="121"/>
      <c r="AR32" s="403"/>
      <c r="AS32" s="121"/>
    </row>
    <row r="33" spans="1:45" x14ac:dyDescent="0.25">
      <c r="A33" s="1158"/>
      <c r="E33" s="419"/>
      <c r="V33" s="403"/>
      <c r="W33" s="121"/>
      <c r="AG33" s="47"/>
      <c r="AH33" s="45"/>
      <c r="AI33" s="45"/>
      <c r="AJ33" s="45"/>
      <c r="AK33" s="45"/>
      <c r="AR33" s="403"/>
      <c r="AS33" s="121"/>
    </row>
    <row r="34" spans="1:45" s="5" customFormat="1" ht="15.75" thickBot="1" x14ac:dyDescent="0.3">
      <c r="A34" s="1159"/>
      <c r="I34" s="8"/>
      <c r="V34" s="420"/>
      <c r="W34" s="124"/>
      <c r="AR34" s="420"/>
      <c r="AS34" s="124"/>
    </row>
    <row r="35" spans="1:45" s="6" customFormat="1" ht="15.75" thickTop="1" x14ac:dyDescent="0.25">
      <c r="A35" s="1157" t="s">
        <v>751</v>
      </c>
      <c r="B35" s="6" t="s">
        <v>597</v>
      </c>
      <c r="I35" s="9"/>
      <c r="W35" s="120" t="s">
        <v>598</v>
      </c>
    </row>
    <row r="36" spans="1:45" ht="15.75" customHeight="1" x14ac:dyDescent="0.25">
      <c r="A36" s="1158"/>
      <c r="D36" s="401" t="s">
        <v>155</v>
      </c>
      <c r="E36" s="401" t="s">
        <v>416</v>
      </c>
      <c r="F36" s="401" t="s">
        <v>414</v>
      </c>
      <c r="K36" t="s">
        <v>599</v>
      </c>
      <c r="N36" s="401">
        <v>1</v>
      </c>
      <c r="O36" t="s">
        <v>760</v>
      </c>
      <c r="W36" s="121"/>
      <c r="Y36" t="s">
        <v>600</v>
      </c>
      <c r="AA36" s="401">
        <v>5.95</v>
      </c>
      <c r="AB36" s="426">
        <v>0.46</v>
      </c>
      <c r="AC36" t="s">
        <v>601</v>
      </c>
    </row>
    <row r="37" spans="1:45" x14ac:dyDescent="0.25">
      <c r="A37" s="1158"/>
      <c r="C37" t="s">
        <v>412</v>
      </c>
      <c r="D37" s="401">
        <v>0</v>
      </c>
      <c r="E37" s="401">
        <v>0</v>
      </c>
      <c r="F37" s="401">
        <v>0</v>
      </c>
      <c r="K37" t="s">
        <v>602</v>
      </c>
      <c r="N37" s="401">
        <v>1</v>
      </c>
      <c r="O37" t="s">
        <v>761</v>
      </c>
      <c r="W37" s="121"/>
      <c r="Y37" t="s">
        <v>379</v>
      </c>
      <c r="AA37" s="401">
        <v>5.26</v>
      </c>
      <c r="AB37" s="426">
        <v>0.43</v>
      </c>
      <c r="AC37" t="s">
        <v>853</v>
      </c>
    </row>
    <row r="38" spans="1:45" x14ac:dyDescent="0.25">
      <c r="A38" s="1158"/>
      <c r="C38" t="s">
        <v>603</v>
      </c>
      <c r="D38" s="401">
        <v>0.2</v>
      </c>
      <c r="E38" s="401">
        <v>0.15</v>
      </c>
      <c r="F38" s="401">
        <v>0.15</v>
      </c>
      <c r="K38" t="s">
        <v>408</v>
      </c>
      <c r="N38" s="401">
        <v>0.8</v>
      </c>
      <c r="O38" t="s">
        <v>762</v>
      </c>
      <c r="W38" s="121"/>
    </row>
    <row r="39" spans="1:45" x14ac:dyDescent="0.25">
      <c r="A39" s="1158"/>
      <c r="C39" t="s">
        <v>604</v>
      </c>
      <c r="D39" s="401">
        <v>0.4</v>
      </c>
      <c r="E39" s="401">
        <v>0.3</v>
      </c>
      <c r="F39" s="401">
        <v>0.3</v>
      </c>
      <c r="K39" t="s">
        <v>605</v>
      </c>
      <c r="N39" s="401">
        <v>0.5</v>
      </c>
      <c r="O39" t="s">
        <v>763</v>
      </c>
      <c r="W39" s="121"/>
      <c r="Y39" s="57" t="s">
        <v>28</v>
      </c>
      <c r="Z39" s="58" t="s">
        <v>155</v>
      </c>
      <c r="AC39" t="s">
        <v>606</v>
      </c>
    </row>
    <row r="40" spans="1:45" x14ac:dyDescent="0.25">
      <c r="A40" s="1158"/>
      <c r="K40" t="s">
        <v>607</v>
      </c>
      <c r="N40" s="401">
        <v>0.85</v>
      </c>
      <c r="O40" t="s">
        <v>764</v>
      </c>
      <c r="W40" s="121"/>
      <c r="Y40" s="59" t="s">
        <v>17</v>
      </c>
      <c r="Z40" s="61">
        <v>1</v>
      </c>
      <c r="AC40" t="s">
        <v>608</v>
      </c>
      <c r="AD40">
        <v>1.802</v>
      </c>
    </row>
    <row r="41" spans="1:45" x14ac:dyDescent="0.25">
      <c r="A41" s="1158"/>
      <c r="C41" t="s">
        <v>609</v>
      </c>
      <c r="E41" s="401">
        <v>1</v>
      </c>
      <c r="K41" t="s">
        <v>610</v>
      </c>
      <c r="N41" s="401">
        <v>0.68</v>
      </c>
      <c r="O41" t="s">
        <v>765</v>
      </c>
      <c r="W41" s="121"/>
      <c r="Y41" s="59" t="s">
        <v>18</v>
      </c>
      <c r="Z41" s="61">
        <v>1.75</v>
      </c>
      <c r="AC41" t="s">
        <v>374</v>
      </c>
      <c r="AD41">
        <v>1</v>
      </c>
    </row>
    <row r="42" spans="1:45" x14ac:dyDescent="0.25">
      <c r="A42" s="1158"/>
      <c r="C42" t="s">
        <v>611</v>
      </c>
      <c r="E42" s="401">
        <v>0.9</v>
      </c>
      <c r="K42" t="s">
        <v>612</v>
      </c>
      <c r="N42" s="401">
        <v>0.42499999999999999</v>
      </c>
      <c r="O42" t="s">
        <v>766</v>
      </c>
      <c r="W42" s="121"/>
      <c r="Y42" s="59" t="s">
        <v>19</v>
      </c>
      <c r="Z42" s="61">
        <v>2.5</v>
      </c>
      <c r="AC42" t="s">
        <v>613</v>
      </c>
      <c r="AD42">
        <v>0.64090000000000003</v>
      </c>
    </row>
    <row r="43" spans="1:45" x14ac:dyDescent="0.25">
      <c r="A43" s="1158"/>
      <c r="C43" t="s">
        <v>614</v>
      </c>
      <c r="E43" s="401">
        <v>0.75</v>
      </c>
      <c r="K43" t="s">
        <v>615</v>
      </c>
      <c r="N43" s="401">
        <v>1.2</v>
      </c>
      <c r="O43" t="s">
        <v>767</v>
      </c>
      <c r="W43" s="121"/>
      <c r="Y43" s="59" t="s">
        <v>20</v>
      </c>
      <c r="Z43" s="61">
        <v>1.1499999999999999</v>
      </c>
      <c r="AC43" t="s">
        <v>616</v>
      </c>
      <c r="AD43">
        <v>0.45050000000000001</v>
      </c>
    </row>
    <row r="44" spans="1:45" x14ac:dyDescent="0.25">
      <c r="A44" s="1158"/>
      <c r="C44" t="s">
        <v>411</v>
      </c>
      <c r="E44" s="401">
        <v>0.5</v>
      </c>
      <c r="K44" t="s">
        <v>617</v>
      </c>
      <c r="N44" s="401">
        <v>0.96</v>
      </c>
      <c r="O44" t="s">
        <v>768</v>
      </c>
      <c r="W44" s="121"/>
      <c r="Y44" s="59" t="s">
        <v>21</v>
      </c>
      <c r="Z44" s="61">
        <v>2</v>
      </c>
    </row>
    <row r="45" spans="1:45" x14ac:dyDescent="0.25">
      <c r="A45" s="1158"/>
      <c r="C45" t="s">
        <v>618</v>
      </c>
      <c r="E45" s="401">
        <v>0.3</v>
      </c>
      <c r="K45" t="s">
        <v>619</v>
      </c>
      <c r="N45" s="401">
        <v>0.6</v>
      </c>
      <c r="O45" t="s">
        <v>769</v>
      </c>
      <c r="W45" s="121"/>
      <c r="Y45" s="59" t="s">
        <v>22</v>
      </c>
      <c r="Z45" s="61">
        <v>2.85</v>
      </c>
    </row>
    <row r="46" spans="1:45" x14ac:dyDescent="0.25">
      <c r="A46" s="1158"/>
      <c r="W46" s="121"/>
      <c r="Y46" s="59" t="s">
        <v>23</v>
      </c>
      <c r="Z46" s="61">
        <v>1.3</v>
      </c>
      <c r="AC46" s="423"/>
    </row>
    <row r="47" spans="1:45" x14ac:dyDescent="0.25">
      <c r="A47" s="1158"/>
      <c r="W47" s="121"/>
      <c r="Y47" s="59" t="s">
        <v>24</v>
      </c>
      <c r="Z47" s="61">
        <v>2.25</v>
      </c>
    </row>
    <row r="48" spans="1:45" x14ac:dyDescent="0.25">
      <c r="A48" s="1158"/>
      <c r="W48" s="121"/>
      <c r="X48" s="47"/>
      <c r="Y48" s="59" t="s">
        <v>25</v>
      </c>
      <c r="Z48" s="61">
        <v>3.1</v>
      </c>
    </row>
    <row r="49" spans="1:23" s="5" customFormat="1" ht="15.75" thickBot="1" x14ac:dyDescent="0.3">
      <c r="A49" s="1159"/>
      <c r="I49" s="8"/>
      <c r="W49" s="124"/>
    </row>
    <row r="50" spans="1:23" s="6" customFormat="1" ht="15.75" thickTop="1" x14ac:dyDescent="0.25">
      <c r="A50" s="1157" t="s">
        <v>752</v>
      </c>
      <c r="I50" s="9"/>
    </row>
    <row r="51" spans="1:23" x14ac:dyDescent="0.25">
      <c r="A51" s="1158"/>
    </row>
    <row r="52" spans="1:23" x14ac:dyDescent="0.25">
      <c r="A52" s="1158"/>
      <c r="C52" t="s">
        <v>620</v>
      </c>
      <c r="E52">
        <v>1</v>
      </c>
      <c r="G52" s="57" t="s">
        <v>28</v>
      </c>
      <c r="H52" s="58" t="s">
        <v>155</v>
      </c>
    </row>
    <row r="53" spans="1:23" x14ac:dyDescent="0.25">
      <c r="A53" s="1158"/>
      <c r="C53" t="s">
        <v>391</v>
      </c>
      <c r="E53">
        <v>0.41699999999999998</v>
      </c>
      <c r="G53" s="59" t="s">
        <v>17</v>
      </c>
      <c r="H53" s="61">
        <v>1</v>
      </c>
    </row>
    <row r="54" spans="1:23" x14ac:dyDescent="0.25">
      <c r="A54" s="1158"/>
      <c r="C54" t="s">
        <v>621</v>
      </c>
      <c r="E54">
        <v>0.29699999999999999</v>
      </c>
      <c r="G54" s="59" t="s">
        <v>18</v>
      </c>
      <c r="H54" s="61">
        <v>1.75</v>
      </c>
    </row>
    <row r="55" spans="1:23" x14ac:dyDescent="0.25">
      <c r="A55" s="1158"/>
      <c r="G55" s="59" t="s">
        <v>19</v>
      </c>
      <c r="H55" s="61">
        <v>2.5</v>
      </c>
    </row>
    <row r="56" spans="1:23" x14ac:dyDescent="0.25">
      <c r="A56" s="1158"/>
      <c r="G56" s="59" t="s">
        <v>20</v>
      </c>
      <c r="H56" s="61">
        <v>1.1499999999999999</v>
      </c>
    </row>
    <row r="57" spans="1:23" x14ac:dyDescent="0.25">
      <c r="A57" s="1158"/>
      <c r="G57" s="59" t="s">
        <v>21</v>
      </c>
      <c r="H57" s="61">
        <v>2</v>
      </c>
    </row>
    <row r="58" spans="1:23" x14ac:dyDescent="0.25">
      <c r="A58" s="1158"/>
      <c r="G58" s="59" t="s">
        <v>22</v>
      </c>
      <c r="H58" s="61">
        <v>2.85</v>
      </c>
    </row>
    <row r="59" spans="1:23" x14ac:dyDescent="0.25">
      <c r="A59" s="1158"/>
      <c r="G59" s="59" t="s">
        <v>23</v>
      </c>
      <c r="H59" s="61">
        <v>1.3</v>
      </c>
    </row>
    <row r="60" spans="1:23" x14ac:dyDescent="0.25">
      <c r="A60" s="1158"/>
      <c r="G60" s="59" t="s">
        <v>24</v>
      </c>
      <c r="H60" s="61">
        <v>2.25</v>
      </c>
    </row>
    <row r="61" spans="1:23" x14ac:dyDescent="0.25">
      <c r="A61" s="1158"/>
      <c r="G61" s="59" t="s">
        <v>25</v>
      </c>
      <c r="H61" s="61">
        <v>3.1</v>
      </c>
    </row>
    <row r="62" spans="1:23" x14ac:dyDescent="0.25">
      <c r="A62" s="1158"/>
    </row>
    <row r="63" spans="1:23" x14ac:dyDescent="0.25">
      <c r="A63" s="1158"/>
    </row>
    <row r="64" spans="1:23" s="5" customFormat="1" ht="15.75" thickBot="1" x14ac:dyDescent="0.3">
      <c r="A64" s="1159"/>
      <c r="I64" s="8"/>
    </row>
    <row r="65" spans="1:53" s="6" customFormat="1" ht="15.75" thickTop="1" x14ac:dyDescent="0.25">
      <c r="A65" s="1157" t="s">
        <v>753</v>
      </c>
      <c r="B65" s="1165" t="s">
        <v>730</v>
      </c>
      <c r="C65" s="112"/>
      <c r="I65" s="9"/>
      <c r="R65" s="120"/>
      <c r="AG65" s="120"/>
      <c r="AP65" s="1154" t="s">
        <v>731</v>
      </c>
      <c r="AV65" s="1154" t="s">
        <v>732</v>
      </c>
    </row>
    <row r="66" spans="1:53" s="35" customFormat="1" x14ac:dyDescent="0.25">
      <c r="A66" s="1158"/>
      <c r="B66" s="1166"/>
      <c r="C66" s="125" t="s">
        <v>134</v>
      </c>
      <c r="I66" s="36"/>
      <c r="R66" s="126" t="s">
        <v>135</v>
      </c>
      <c r="AG66" s="121"/>
      <c r="AH66" s="35" t="s">
        <v>136</v>
      </c>
      <c r="AN66" s="35" t="s">
        <v>174</v>
      </c>
      <c r="AO66" s="119"/>
      <c r="AP66" s="1155"/>
      <c r="AQ66" s="35" t="s">
        <v>175</v>
      </c>
      <c r="AR66" s="119"/>
      <c r="AT66" s="35" t="s">
        <v>176</v>
      </c>
      <c r="AV66" s="1155"/>
      <c r="AW66" s="35" t="s">
        <v>182</v>
      </c>
      <c r="AY66" s="35" t="s">
        <v>867</v>
      </c>
    </row>
    <row r="67" spans="1:53" s="35" customFormat="1" x14ac:dyDescent="0.25">
      <c r="A67" s="1158"/>
      <c r="B67" s="1166"/>
      <c r="C67" s="107"/>
      <c r="D67" s="108"/>
      <c r="E67" s="108"/>
      <c r="F67" s="108"/>
      <c r="G67" s="108"/>
      <c r="H67" s="108"/>
      <c r="I67" s="111"/>
      <c r="J67" s="108"/>
      <c r="K67" s="108"/>
      <c r="L67" s="108"/>
      <c r="M67" s="108"/>
      <c r="N67" s="108"/>
      <c r="O67" s="108"/>
      <c r="P67" s="108"/>
      <c r="Q67" s="108"/>
      <c r="R67" s="121"/>
      <c r="AG67" s="121"/>
      <c r="AH67" s="119"/>
      <c r="AI67" s="119" t="s">
        <v>137</v>
      </c>
      <c r="AK67" s="119" t="s">
        <v>138</v>
      </c>
      <c r="AN67" s="128" t="s">
        <v>148</v>
      </c>
      <c r="AO67" s="119">
        <v>1</v>
      </c>
      <c r="AP67" s="1155"/>
      <c r="AQ67" s="116" t="s">
        <v>17</v>
      </c>
      <c r="AR67" s="119">
        <v>1</v>
      </c>
      <c r="AT67" s="36" t="s">
        <v>177</v>
      </c>
      <c r="AU67" s="35">
        <v>0.8</v>
      </c>
      <c r="AV67" s="1155"/>
      <c r="AW67" s="36" t="s">
        <v>183</v>
      </c>
      <c r="AX67" s="205">
        <v>0.4</v>
      </c>
      <c r="AY67" s="899" t="s">
        <v>865</v>
      </c>
      <c r="BA67" s="473"/>
    </row>
    <row r="68" spans="1:53" s="35" customFormat="1" x14ac:dyDescent="0.25">
      <c r="A68" s="1158"/>
      <c r="B68" s="1166"/>
      <c r="C68" s="1160" t="s">
        <v>772</v>
      </c>
      <c r="D68" s="1161"/>
      <c r="E68" s="1161"/>
      <c r="F68" s="1161"/>
      <c r="G68" s="1162"/>
      <c r="H68" s="1160" t="s">
        <v>773</v>
      </c>
      <c r="I68" s="1161"/>
      <c r="J68" s="1161"/>
      <c r="K68" s="1161"/>
      <c r="L68" s="1162"/>
      <c r="M68" s="1160" t="s">
        <v>774</v>
      </c>
      <c r="N68" s="1161"/>
      <c r="O68" s="1161"/>
      <c r="P68" s="1161"/>
      <c r="Q68" s="114" t="s">
        <v>127</v>
      </c>
      <c r="R68" s="1160" t="s">
        <v>772</v>
      </c>
      <c r="S68" s="1161"/>
      <c r="T68" s="1161"/>
      <c r="U68" s="1161"/>
      <c r="V68" s="1162"/>
      <c r="W68" s="1160" t="s">
        <v>773</v>
      </c>
      <c r="X68" s="1161"/>
      <c r="Y68" s="1161"/>
      <c r="Z68" s="1161"/>
      <c r="AA68" s="1162"/>
      <c r="AB68" s="1163" t="s">
        <v>775</v>
      </c>
      <c r="AC68" s="1164"/>
      <c r="AD68" s="1164"/>
      <c r="AE68" s="1164"/>
      <c r="AF68" s="127">
        <v>15</v>
      </c>
      <c r="AG68" s="121"/>
      <c r="AH68" s="128" t="s">
        <v>7</v>
      </c>
      <c r="AI68" s="1168" t="s">
        <v>144</v>
      </c>
      <c r="AJ68" s="1168"/>
      <c r="AK68" s="1168" t="s">
        <v>145</v>
      </c>
      <c r="AL68" s="1168"/>
      <c r="AN68" s="128" t="s">
        <v>149</v>
      </c>
      <c r="AO68" s="119">
        <v>1.02</v>
      </c>
      <c r="AP68" s="1155"/>
      <c r="AQ68" s="116" t="s">
        <v>20</v>
      </c>
      <c r="AR68" s="119">
        <v>1.6</v>
      </c>
      <c r="AT68" s="36" t="s">
        <v>178</v>
      </c>
      <c r="AU68" s="35">
        <v>1</v>
      </c>
      <c r="AV68" s="1155"/>
      <c r="AW68" s="36" t="s">
        <v>184</v>
      </c>
      <c r="AX68" s="205">
        <v>0.3</v>
      </c>
      <c r="AY68" s="899" t="s">
        <v>866</v>
      </c>
      <c r="BA68" s="473"/>
    </row>
    <row r="69" spans="1:53" s="35" customFormat="1" x14ac:dyDescent="0.25">
      <c r="A69" s="1158"/>
      <c r="B69" s="1166"/>
      <c r="C69" s="103" t="s">
        <v>128</v>
      </c>
      <c r="D69" s="78" t="s">
        <v>129</v>
      </c>
      <c r="E69" s="78" t="s">
        <v>130</v>
      </c>
      <c r="F69" s="78" t="s">
        <v>131</v>
      </c>
      <c r="G69" s="104" t="s">
        <v>132</v>
      </c>
      <c r="H69" s="103" t="s">
        <v>128</v>
      </c>
      <c r="I69" s="110" t="s">
        <v>129</v>
      </c>
      <c r="J69" s="78" t="s">
        <v>130</v>
      </c>
      <c r="K69" s="78" t="s">
        <v>131</v>
      </c>
      <c r="L69" s="104" t="s">
        <v>132</v>
      </c>
      <c r="M69" s="103" t="s">
        <v>128</v>
      </c>
      <c r="N69" s="78" t="s">
        <v>129</v>
      </c>
      <c r="O69" s="78" t="s">
        <v>130</v>
      </c>
      <c r="P69" s="78" t="s">
        <v>131</v>
      </c>
      <c r="Q69" s="78" t="s">
        <v>132</v>
      </c>
      <c r="R69" s="122" t="s">
        <v>128</v>
      </c>
      <c r="S69" s="116" t="s">
        <v>129</v>
      </c>
      <c r="T69" s="116" t="s">
        <v>130</v>
      </c>
      <c r="U69" s="116" t="s">
        <v>131</v>
      </c>
      <c r="V69" s="117" t="s">
        <v>132</v>
      </c>
      <c r="W69" s="115" t="s">
        <v>128</v>
      </c>
      <c r="X69" s="116" t="s">
        <v>129</v>
      </c>
      <c r="Y69" s="116" t="s">
        <v>130</v>
      </c>
      <c r="Z69" s="116" t="s">
        <v>131</v>
      </c>
      <c r="AA69" s="117" t="s">
        <v>132</v>
      </c>
      <c r="AB69" s="115" t="s">
        <v>128</v>
      </c>
      <c r="AC69" s="116" t="s">
        <v>129</v>
      </c>
      <c r="AD69" s="116" t="s">
        <v>130</v>
      </c>
      <c r="AE69" s="116" t="s">
        <v>131</v>
      </c>
      <c r="AF69" s="116" t="s">
        <v>132</v>
      </c>
      <c r="AG69" s="121"/>
      <c r="AH69" s="128" t="s">
        <v>8</v>
      </c>
      <c r="AI69" s="1168" t="s">
        <v>147</v>
      </c>
      <c r="AJ69" s="1168"/>
      <c r="AK69" s="1168" t="s">
        <v>158</v>
      </c>
      <c r="AL69" s="1168"/>
      <c r="AN69" s="128" t="s">
        <v>150</v>
      </c>
      <c r="AO69" s="119">
        <v>1.05</v>
      </c>
      <c r="AP69" s="1155"/>
      <c r="AQ69" s="116" t="s">
        <v>23</v>
      </c>
      <c r="AR69" s="119">
        <v>2.2000000000000002</v>
      </c>
      <c r="AT69" s="191" t="s">
        <v>179</v>
      </c>
      <c r="AU69" s="35">
        <v>1.3</v>
      </c>
      <c r="AV69" s="1155"/>
      <c r="AW69" s="191"/>
      <c r="BA69" s="473"/>
    </row>
    <row r="70" spans="1:53" s="35" customFormat="1" x14ac:dyDescent="0.25">
      <c r="A70" s="1158"/>
      <c r="B70" s="1166"/>
      <c r="C70" s="105" t="s">
        <v>17</v>
      </c>
      <c r="D70" s="244">
        <v>-10.74</v>
      </c>
      <c r="E70" s="244">
        <v>-1.4350000000000001</v>
      </c>
      <c r="F70" s="244">
        <v>-5.0999999999999997E-2</v>
      </c>
      <c r="G70" s="245">
        <v>0</v>
      </c>
      <c r="H70" s="105" t="s">
        <v>17</v>
      </c>
      <c r="I70" s="559">
        <v>-18.739999999999998</v>
      </c>
      <c r="J70" s="244">
        <v>-2.41</v>
      </c>
      <c r="K70" s="244">
        <v>-0.115</v>
      </c>
      <c r="L70" s="245">
        <v>0</v>
      </c>
      <c r="M70" s="105" t="s">
        <v>17</v>
      </c>
      <c r="N70" s="244">
        <f>I70+I70/100*$Q$68</f>
        <v>-21.550999999999998</v>
      </c>
      <c r="O70" s="244">
        <f t="shared" ref="O70:Q78" si="0">J70+J70/100*$Q$68</f>
        <v>-2.7715000000000001</v>
      </c>
      <c r="P70" s="244">
        <f t="shared" si="0"/>
        <v>-0.13225000000000001</v>
      </c>
      <c r="Q70" s="244">
        <f>L70+L70/100*$Q$68</f>
        <v>0</v>
      </c>
      <c r="R70" s="122" t="s">
        <v>17</v>
      </c>
      <c r="S70" s="244">
        <v>23.7</v>
      </c>
      <c r="T70" s="244">
        <v>14.395</v>
      </c>
      <c r="U70" s="244">
        <v>7.4729999999999999</v>
      </c>
      <c r="V70" s="245">
        <v>6.46</v>
      </c>
      <c r="W70" s="115" t="s">
        <v>17</v>
      </c>
      <c r="X70" s="244">
        <v>41.32</v>
      </c>
      <c r="Y70" s="244">
        <v>24.99</v>
      </c>
      <c r="Z70" s="244">
        <v>13.513</v>
      </c>
      <c r="AA70" s="245">
        <v>11.22</v>
      </c>
      <c r="AB70" s="115" t="s">
        <v>17</v>
      </c>
      <c r="AC70" s="244">
        <f>X70+X70/100*$AF$68</f>
        <v>47.518000000000001</v>
      </c>
      <c r="AD70" s="244">
        <f t="shared" ref="AD70:AF78" si="1">Y70+Y70/100*$AF$68</f>
        <v>28.738499999999998</v>
      </c>
      <c r="AE70" s="244">
        <f t="shared" si="1"/>
        <v>15.539949999999999</v>
      </c>
      <c r="AF70" s="244">
        <f t="shared" si="1"/>
        <v>12.903</v>
      </c>
      <c r="AG70" s="121"/>
      <c r="AH70" s="128" t="s">
        <v>139</v>
      </c>
      <c r="AI70" s="1168" t="s">
        <v>147</v>
      </c>
      <c r="AJ70" s="1168"/>
      <c r="AK70" s="1168" t="s">
        <v>158</v>
      </c>
      <c r="AL70" s="1168"/>
      <c r="AN70" s="128" t="s">
        <v>151</v>
      </c>
      <c r="AO70" s="119">
        <v>1.1000000000000001</v>
      </c>
      <c r="AP70" s="1155"/>
      <c r="AQ70" s="116" t="s">
        <v>18</v>
      </c>
      <c r="AR70" s="130">
        <v>1.3</v>
      </c>
      <c r="AV70" s="1155"/>
      <c r="AZ70" s="437"/>
      <c r="BA70" s="473"/>
    </row>
    <row r="71" spans="1:53" s="35" customFormat="1" x14ac:dyDescent="0.25">
      <c r="A71" s="1158"/>
      <c r="B71" s="1166"/>
      <c r="C71" s="105" t="s">
        <v>20</v>
      </c>
      <c r="D71" s="244">
        <v>-12.26</v>
      </c>
      <c r="E71" s="244">
        <v>-0.87</v>
      </c>
      <c r="F71" s="244">
        <v>-8.3000000000000004E-2</v>
      </c>
      <c r="G71" s="245">
        <v>0</v>
      </c>
      <c r="H71" s="105" t="s">
        <v>20</v>
      </c>
      <c r="I71" s="559">
        <v>-21.5</v>
      </c>
      <c r="J71" s="244">
        <v>-1.163</v>
      </c>
      <c r="K71" s="244">
        <v>-0.13700000000000001</v>
      </c>
      <c r="L71" s="245">
        <v>0</v>
      </c>
      <c r="M71" s="105" t="s">
        <v>20</v>
      </c>
      <c r="N71" s="244">
        <f t="shared" ref="N71:N78" si="2">I71+I71/100*$Q$68</f>
        <v>-24.725000000000001</v>
      </c>
      <c r="O71" s="244">
        <f t="shared" si="0"/>
        <v>-1.33745</v>
      </c>
      <c r="P71" s="244">
        <f t="shared" si="0"/>
        <v>-0.15755000000000002</v>
      </c>
      <c r="Q71" s="244">
        <f t="shared" si="0"/>
        <v>0</v>
      </c>
      <c r="R71" s="122" t="s">
        <v>20</v>
      </c>
      <c r="S71" s="244">
        <v>27.06</v>
      </c>
      <c r="T71" s="244">
        <v>15.67</v>
      </c>
      <c r="U71" s="244">
        <v>11.737</v>
      </c>
      <c r="V71" s="245">
        <v>10.07</v>
      </c>
      <c r="W71" s="115" t="s">
        <v>20</v>
      </c>
      <c r="X71" s="244">
        <v>47.46</v>
      </c>
      <c r="Y71" s="244">
        <v>27.123000000000001</v>
      </c>
      <c r="Z71" s="244">
        <v>21.997</v>
      </c>
      <c r="AA71" s="245">
        <v>19.25</v>
      </c>
      <c r="AB71" s="115" t="s">
        <v>20</v>
      </c>
      <c r="AC71" s="244">
        <f t="shared" ref="AC71:AC78" si="3">X71+X71/100*$AF$68</f>
        <v>54.579000000000001</v>
      </c>
      <c r="AD71" s="244">
        <f t="shared" si="1"/>
        <v>31.191450000000003</v>
      </c>
      <c r="AE71" s="244">
        <f t="shared" si="1"/>
        <v>25.29655</v>
      </c>
      <c r="AF71" s="244">
        <f t="shared" si="1"/>
        <v>22.137499999999999</v>
      </c>
      <c r="AG71" s="121"/>
      <c r="AH71" s="128" t="s">
        <v>9</v>
      </c>
      <c r="AI71" s="1168" t="s">
        <v>146</v>
      </c>
      <c r="AJ71" s="1168"/>
      <c r="AK71" s="1168" t="s">
        <v>157</v>
      </c>
      <c r="AL71" s="1168"/>
      <c r="AP71" s="1155"/>
      <c r="AQ71" s="116" t="s">
        <v>21</v>
      </c>
      <c r="AR71" s="130">
        <v>2.1</v>
      </c>
      <c r="AV71" s="1155"/>
      <c r="AX71" s="900"/>
    </row>
    <row r="72" spans="1:53" s="35" customFormat="1" x14ac:dyDescent="0.25">
      <c r="A72" s="1158"/>
      <c r="B72" s="1166"/>
      <c r="C72" s="105" t="s">
        <v>23</v>
      </c>
      <c r="D72" s="244">
        <v>-16.7</v>
      </c>
      <c r="E72" s="244">
        <v>-0.58799999999999997</v>
      </c>
      <c r="F72" s="244">
        <v>-8.6999999999999994E-2</v>
      </c>
      <c r="G72" s="245">
        <v>0</v>
      </c>
      <c r="H72" s="105" t="s">
        <v>23</v>
      </c>
      <c r="I72" s="559">
        <v>-32.64</v>
      </c>
      <c r="J72" s="244">
        <v>-1.298</v>
      </c>
      <c r="K72" s="244">
        <v>-0.157</v>
      </c>
      <c r="L72" s="245">
        <v>0</v>
      </c>
      <c r="M72" s="105" t="s">
        <v>23</v>
      </c>
      <c r="N72" s="244">
        <f t="shared" si="2"/>
        <v>-37.536000000000001</v>
      </c>
      <c r="O72" s="244">
        <f t="shared" si="0"/>
        <v>-1.4927000000000001</v>
      </c>
      <c r="P72" s="244">
        <f t="shared" si="0"/>
        <v>-0.18054999999999999</v>
      </c>
      <c r="Q72" s="244">
        <f t="shared" si="0"/>
        <v>0</v>
      </c>
      <c r="R72" s="122" t="s">
        <v>23</v>
      </c>
      <c r="S72" s="244">
        <v>36.869999999999997</v>
      </c>
      <c r="T72" s="244">
        <v>20.757999999999999</v>
      </c>
      <c r="U72" s="244">
        <v>18.253</v>
      </c>
      <c r="V72" s="245">
        <v>16.52</v>
      </c>
      <c r="W72" s="115" t="s">
        <v>23</v>
      </c>
      <c r="X72" s="244">
        <v>72.06</v>
      </c>
      <c r="Y72" s="244">
        <v>40.718000000000004</v>
      </c>
      <c r="Z72" s="244">
        <v>35.012999999999998</v>
      </c>
      <c r="AA72" s="245">
        <v>31.88</v>
      </c>
      <c r="AB72" s="115" t="s">
        <v>23</v>
      </c>
      <c r="AC72" s="244">
        <f t="shared" si="3"/>
        <v>82.869</v>
      </c>
      <c r="AD72" s="244">
        <f t="shared" si="1"/>
        <v>46.825700000000005</v>
      </c>
      <c r="AE72" s="244">
        <f t="shared" si="1"/>
        <v>40.264949999999999</v>
      </c>
      <c r="AF72" s="244">
        <f t="shared" si="1"/>
        <v>36.661999999999999</v>
      </c>
      <c r="AG72" s="121"/>
      <c r="AH72" s="128" t="s">
        <v>10</v>
      </c>
      <c r="AI72" s="1168" t="s">
        <v>146</v>
      </c>
      <c r="AJ72" s="1168"/>
      <c r="AK72" s="1168" t="s">
        <v>157</v>
      </c>
      <c r="AL72" s="1168"/>
      <c r="AP72" s="1155"/>
      <c r="AQ72" s="116" t="s">
        <v>24</v>
      </c>
      <c r="AR72" s="130">
        <v>2.9</v>
      </c>
      <c r="AV72" s="1155"/>
      <c r="AX72" s="900"/>
    </row>
    <row r="73" spans="1:53" s="35" customFormat="1" x14ac:dyDescent="0.25">
      <c r="A73" s="1158"/>
      <c r="B73" s="1166"/>
      <c r="C73" s="105" t="s">
        <v>18</v>
      </c>
      <c r="D73" s="244">
        <v>-13</v>
      </c>
      <c r="E73" s="244">
        <v>-0.92</v>
      </c>
      <c r="F73" s="244">
        <v>-7.8E-2</v>
      </c>
      <c r="G73" s="245">
        <v>0</v>
      </c>
      <c r="H73" s="105" t="s">
        <v>18</v>
      </c>
      <c r="I73" s="559">
        <v>-22.72</v>
      </c>
      <c r="J73" s="244">
        <v>-1.37</v>
      </c>
      <c r="K73" s="244">
        <v>-0.185</v>
      </c>
      <c r="L73" s="245">
        <v>0</v>
      </c>
      <c r="M73" s="105" t="s">
        <v>18</v>
      </c>
      <c r="N73" s="244">
        <f t="shared" si="2"/>
        <v>-26.128</v>
      </c>
      <c r="O73" s="244">
        <f t="shared" si="0"/>
        <v>-1.5755000000000001</v>
      </c>
      <c r="P73" s="244">
        <f t="shared" si="0"/>
        <v>-0.21274999999999999</v>
      </c>
      <c r="Q73" s="244">
        <f t="shared" si="0"/>
        <v>0</v>
      </c>
      <c r="R73" s="122" t="s">
        <v>18</v>
      </c>
      <c r="S73" s="244">
        <v>28.68</v>
      </c>
      <c r="T73" s="244">
        <v>16.600000000000001</v>
      </c>
      <c r="U73" s="244">
        <v>12.39</v>
      </c>
      <c r="V73" s="245">
        <v>10.83</v>
      </c>
      <c r="W73" s="115" t="s">
        <v>18</v>
      </c>
      <c r="X73" s="244">
        <v>50.15</v>
      </c>
      <c r="Y73" s="244">
        <v>28.8</v>
      </c>
      <c r="Z73" s="244">
        <v>22.873000000000001</v>
      </c>
      <c r="AA73" s="245">
        <v>19.18</v>
      </c>
      <c r="AB73" s="115" t="s">
        <v>18</v>
      </c>
      <c r="AC73" s="244">
        <f t="shared" si="3"/>
        <v>57.672499999999999</v>
      </c>
      <c r="AD73" s="244">
        <f t="shared" si="1"/>
        <v>33.120000000000005</v>
      </c>
      <c r="AE73" s="244">
        <f t="shared" si="1"/>
        <v>26.30395</v>
      </c>
      <c r="AF73" s="244">
        <f t="shared" si="1"/>
        <v>22.056999999999999</v>
      </c>
      <c r="AG73" s="121"/>
      <c r="AP73" s="1155"/>
      <c r="AQ73" s="116" t="s">
        <v>19</v>
      </c>
      <c r="AR73" s="130">
        <v>1.6</v>
      </c>
      <c r="AV73" s="1155"/>
    </row>
    <row r="74" spans="1:53" s="35" customFormat="1" x14ac:dyDescent="0.25">
      <c r="A74" s="1158"/>
      <c r="B74" s="1166"/>
      <c r="C74" s="105" t="s">
        <v>21</v>
      </c>
      <c r="D74" s="244">
        <v>-16.04</v>
      </c>
      <c r="E74" s="244">
        <v>-0.64800000000000002</v>
      </c>
      <c r="F74" s="244">
        <v>-8.8999999999999996E-2</v>
      </c>
      <c r="G74" s="245">
        <v>0</v>
      </c>
      <c r="H74" s="105" t="s">
        <v>21</v>
      </c>
      <c r="I74" s="559">
        <v>-29.440999999999999</v>
      </c>
      <c r="J74" s="244">
        <v>-0.86499999999999999</v>
      </c>
      <c r="K74" s="244">
        <v>-0.14099999999999999</v>
      </c>
      <c r="L74" s="245">
        <v>0</v>
      </c>
      <c r="M74" s="105" t="s">
        <v>21</v>
      </c>
      <c r="N74" s="244">
        <f t="shared" si="2"/>
        <v>-33.857149999999997</v>
      </c>
      <c r="O74" s="244">
        <f t="shared" si="0"/>
        <v>-0.99475000000000002</v>
      </c>
      <c r="P74" s="244">
        <f t="shared" si="0"/>
        <v>-0.16214999999999999</v>
      </c>
      <c r="Q74" s="244">
        <f t="shared" si="0"/>
        <v>0</v>
      </c>
      <c r="R74" s="122" t="s">
        <v>21</v>
      </c>
      <c r="S74" s="244">
        <v>35.4</v>
      </c>
      <c r="T74" s="244">
        <v>20.007999999999999</v>
      </c>
      <c r="U74" s="244">
        <v>17.213000000000001</v>
      </c>
      <c r="V74" s="245">
        <v>15.44</v>
      </c>
      <c r="W74" s="115" t="s">
        <v>21</v>
      </c>
      <c r="X74" s="244">
        <v>64.980999999999995</v>
      </c>
      <c r="Y74" s="244">
        <v>36.404000000000003</v>
      </c>
      <c r="Z74" s="244">
        <v>32.783000000000001</v>
      </c>
      <c r="AA74" s="245">
        <v>29.97</v>
      </c>
      <c r="AB74" s="115" t="s">
        <v>21</v>
      </c>
      <c r="AC74" s="244">
        <f t="shared" si="3"/>
        <v>74.728149999999999</v>
      </c>
      <c r="AD74" s="244">
        <f t="shared" si="1"/>
        <v>41.864600000000003</v>
      </c>
      <c r="AE74" s="244">
        <f t="shared" si="1"/>
        <v>37.700450000000004</v>
      </c>
      <c r="AF74" s="244">
        <f t="shared" si="1"/>
        <v>34.465499999999999</v>
      </c>
      <c r="AG74" s="121"/>
      <c r="AH74" s="129" t="s">
        <v>860</v>
      </c>
      <c r="AL74" s="35" t="s">
        <v>861</v>
      </c>
      <c r="AP74" s="1155"/>
      <c r="AQ74" s="116" t="s">
        <v>22</v>
      </c>
      <c r="AR74" s="130">
        <v>2.6</v>
      </c>
      <c r="AV74" s="1155"/>
    </row>
    <row r="75" spans="1:53" s="35" customFormat="1" x14ac:dyDescent="0.25">
      <c r="A75" s="1158"/>
      <c r="B75" s="1166"/>
      <c r="C75" s="105" t="s">
        <v>24</v>
      </c>
      <c r="D75" s="244">
        <v>-21.24</v>
      </c>
      <c r="E75" s="244">
        <v>-0.39500000000000002</v>
      </c>
      <c r="F75" s="244">
        <v>-0.126</v>
      </c>
      <c r="G75" s="245">
        <v>0</v>
      </c>
      <c r="H75" s="105" t="s">
        <v>24</v>
      </c>
      <c r="I75" s="559">
        <v>-39.1</v>
      </c>
      <c r="J75" s="244">
        <v>-0.42299999999999999</v>
      </c>
      <c r="K75" s="244">
        <v>-0.222</v>
      </c>
      <c r="L75" s="245">
        <v>0</v>
      </c>
      <c r="M75" s="105" t="s">
        <v>24</v>
      </c>
      <c r="N75" s="244">
        <f t="shared" si="2"/>
        <v>-44.965000000000003</v>
      </c>
      <c r="O75" s="244">
        <f t="shared" si="0"/>
        <v>-0.48644999999999999</v>
      </c>
      <c r="P75" s="244">
        <f t="shared" si="0"/>
        <v>-0.25530000000000003</v>
      </c>
      <c r="Q75" s="244">
        <f t="shared" si="0"/>
        <v>0</v>
      </c>
      <c r="R75" s="122" t="s">
        <v>24</v>
      </c>
      <c r="S75" s="244">
        <v>46.9</v>
      </c>
      <c r="T75" s="244">
        <v>26.055</v>
      </c>
      <c r="U75" s="244">
        <v>24.71</v>
      </c>
      <c r="V75" s="245">
        <v>22.19</v>
      </c>
      <c r="W75" s="115" t="s">
        <v>24</v>
      </c>
      <c r="X75" s="244">
        <v>86.34</v>
      </c>
      <c r="Y75" s="244">
        <v>47.662999999999997</v>
      </c>
      <c r="Z75" s="244">
        <v>46.66</v>
      </c>
      <c r="AA75" s="245">
        <v>42.22</v>
      </c>
      <c r="AB75" s="115" t="s">
        <v>24</v>
      </c>
      <c r="AC75" s="244">
        <f t="shared" si="3"/>
        <v>99.290999999999997</v>
      </c>
      <c r="AD75" s="244">
        <f t="shared" si="1"/>
        <v>54.812449999999998</v>
      </c>
      <c r="AE75" s="244">
        <f t="shared" si="1"/>
        <v>53.658999999999999</v>
      </c>
      <c r="AF75" s="244">
        <f t="shared" si="1"/>
        <v>48.552999999999997</v>
      </c>
      <c r="AG75" s="121"/>
      <c r="AH75" s="35">
        <v>0</v>
      </c>
      <c r="AI75" s="35" t="s">
        <v>140</v>
      </c>
      <c r="AK75" s="35">
        <v>0</v>
      </c>
      <c r="AL75" s="35" t="s">
        <v>857</v>
      </c>
      <c r="AP75" s="1155"/>
      <c r="AQ75" s="116" t="s">
        <v>25</v>
      </c>
      <c r="AR75" s="130">
        <v>3.5</v>
      </c>
      <c r="AV75" s="1155"/>
    </row>
    <row r="76" spans="1:53" s="35" customFormat="1" x14ac:dyDescent="0.25">
      <c r="A76" s="1158"/>
      <c r="B76" s="1166"/>
      <c r="C76" s="105" t="s">
        <v>19</v>
      </c>
      <c r="D76" s="244">
        <v>-17.38</v>
      </c>
      <c r="E76" s="244">
        <v>-0.83299999999999996</v>
      </c>
      <c r="F76" s="244">
        <v>-9.0999999999999998E-2</v>
      </c>
      <c r="G76" s="245">
        <v>0</v>
      </c>
      <c r="H76" s="105" t="s">
        <v>19</v>
      </c>
      <c r="I76" s="559">
        <v>-30.117999999999999</v>
      </c>
      <c r="J76" s="244">
        <v>-1.4630000000000001</v>
      </c>
      <c r="K76" s="244">
        <v>-0.14199999999999999</v>
      </c>
      <c r="L76" s="245">
        <v>0</v>
      </c>
      <c r="M76" s="105" t="s">
        <v>19</v>
      </c>
      <c r="N76" s="244">
        <f t="shared" si="2"/>
        <v>-34.6357</v>
      </c>
      <c r="O76" s="244">
        <f t="shared" si="0"/>
        <v>-1.68245</v>
      </c>
      <c r="P76" s="244">
        <f t="shared" si="0"/>
        <v>-0.16329999999999997</v>
      </c>
      <c r="Q76" s="244">
        <f t="shared" si="0"/>
        <v>0</v>
      </c>
      <c r="R76" s="122" t="s">
        <v>19</v>
      </c>
      <c r="S76" s="244">
        <v>38.35</v>
      </c>
      <c r="T76" s="244">
        <v>21.803000000000001</v>
      </c>
      <c r="U76" s="244">
        <v>18.093</v>
      </c>
      <c r="V76" s="245">
        <v>16.28</v>
      </c>
      <c r="W76" s="115" t="s">
        <v>19</v>
      </c>
      <c r="X76" s="244">
        <v>70.409000000000006</v>
      </c>
      <c r="Y76" s="244">
        <v>41.753999999999998</v>
      </c>
      <c r="Z76" s="244">
        <v>35.15</v>
      </c>
      <c r="AA76" s="245">
        <v>32.31</v>
      </c>
      <c r="AB76" s="115" t="s">
        <v>19</v>
      </c>
      <c r="AC76" s="244">
        <f t="shared" si="3"/>
        <v>80.97035000000001</v>
      </c>
      <c r="AD76" s="244">
        <f t="shared" si="1"/>
        <v>48.017099999999999</v>
      </c>
      <c r="AE76" s="244">
        <f t="shared" si="1"/>
        <v>40.422499999999999</v>
      </c>
      <c r="AF76" s="244">
        <f t="shared" si="1"/>
        <v>37.156500000000001</v>
      </c>
      <c r="AG76" s="121"/>
      <c r="AH76" s="35">
        <v>1.0000009999999999</v>
      </c>
      <c r="AI76" s="35" t="s">
        <v>141</v>
      </c>
      <c r="AK76" s="35">
        <v>1</v>
      </c>
      <c r="AL76" s="35" t="s">
        <v>862</v>
      </c>
      <c r="AP76" s="1155"/>
      <c r="AV76" s="1155"/>
    </row>
    <row r="77" spans="1:53" s="35" customFormat="1" x14ac:dyDescent="0.25">
      <c r="A77" s="1158"/>
      <c r="B77" s="1166"/>
      <c r="C77" s="105" t="s">
        <v>22</v>
      </c>
      <c r="D77" s="244">
        <v>-24.34</v>
      </c>
      <c r="E77" s="244">
        <v>-0.47299999999999998</v>
      </c>
      <c r="F77" s="244">
        <v>-9.5000000000000001E-2</v>
      </c>
      <c r="G77" s="245">
        <v>0</v>
      </c>
      <c r="H77" s="105" t="s">
        <v>22</v>
      </c>
      <c r="I77" s="559">
        <v>-43.16</v>
      </c>
      <c r="J77" s="244">
        <v>-1.26</v>
      </c>
      <c r="K77" s="244">
        <v>-0.14599999999999999</v>
      </c>
      <c r="L77" s="245">
        <v>0</v>
      </c>
      <c r="M77" s="105" t="s">
        <v>22</v>
      </c>
      <c r="N77" s="244">
        <f t="shared" si="2"/>
        <v>-49.634</v>
      </c>
      <c r="O77" s="244">
        <f t="shared" si="0"/>
        <v>-1.4490000000000001</v>
      </c>
      <c r="P77" s="244">
        <f t="shared" si="0"/>
        <v>-0.16789999999999999</v>
      </c>
      <c r="Q77" s="244">
        <f t="shared" si="0"/>
        <v>0</v>
      </c>
      <c r="R77" s="122" t="s">
        <v>22</v>
      </c>
      <c r="S77" s="244">
        <v>53.73</v>
      </c>
      <c r="T77" s="244">
        <v>29.863</v>
      </c>
      <c r="U77" s="244">
        <v>27.977</v>
      </c>
      <c r="V77" s="245">
        <v>26.07</v>
      </c>
      <c r="W77" s="115" t="s">
        <v>22</v>
      </c>
      <c r="X77" s="244">
        <v>102.07</v>
      </c>
      <c r="Y77" s="244">
        <v>60.17</v>
      </c>
      <c r="Z77" s="244">
        <v>54.6</v>
      </c>
      <c r="AA77" s="245">
        <v>51.68</v>
      </c>
      <c r="AB77" s="115" t="s">
        <v>22</v>
      </c>
      <c r="AC77" s="244">
        <f t="shared" si="3"/>
        <v>117.3805</v>
      </c>
      <c r="AD77" s="244">
        <f t="shared" si="1"/>
        <v>69.19550000000001</v>
      </c>
      <c r="AE77" s="244">
        <f t="shared" si="1"/>
        <v>62.790000000000006</v>
      </c>
      <c r="AF77" s="244">
        <f t="shared" si="1"/>
        <v>59.432000000000002</v>
      </c>
      <c r="AG77" s="121"/>
      <c r="AH77" s="35">
        <v>5.0000010000000001</v>
      </c>
      <c r="AI77" s="35" t="s">
        <v>142</v>
      </c>
      <c r="AK77" s="35">
        <v>2</v>
      </c>
      <c r="AL77" s="35" t="s">
        <v>863</v>
      </c>
      <c r="AP77" s="1155"/>
      <c r="AV77" s="1155"/>
    </row>
    <row r="78" spans="1:53" s="35" customFormat="1" x14ac:dyDescent="0.25">
      <c r="A78" s="1158"/>
      <c r="B78" s="1166"/>
      <c r="C78" s="107" t="s">
        <v>25</v>
      </c>
      <c r="D78" s="246">
        <v>-32.42</v>
      </c>
      <c r="E78" s="246">
        <v>-0.503</v>
      </c>
      <c r="F78" s="246">
        <v>-9.7000000000000003E-2</v>
      </c>
      <c r="G78" s="247">
        <v>0</v>
      </c>
      <c r="H78" s="107" t="s">
        <v>25</v>
      </c>
      <c r="I78" s="560">
        <v>-52.19</v>
      </c>
      <c r="J78" s="246">
        <v>-1.244</v>
      </c>
      <c r="K78" s="246">
        <v>-9.9000000000000005E-2</v>
      </c>
      <c r="L78" s="247">
        <v>0</v>
      </c>
      <c r="M78" s="107" t="s">
        <v>25</v>
      </c>
      <c r="N78" s="246">
        <f t="shared" si="2"/>
        <v>-60.018499999999996</v>
      </c>
      <c r="O78" s="246">
        <f t="shared" si="0"/>
        <v>-1.4306000000000001</v>
      </c>
      <c r="P78" s="246">
        <f t="shared" si="0"/>
        <v>-0.11385000000000001</v>
      </c>
      <c r="Q78" s="246">
        <f t="shared" si="0"/>
        <v>0</v>
      </c>
      <c r="R78" s="123" t="s">
        <v>25</v>
      </c>
      <c r="S78" s="246">
        <v>71.55</v>
      </c>
      <c r="T78" s="246">
        <v>39.633000000000003</v>
      </c>
      <c r="U78" s="246">
        <v>37.603000000000002</v>
      </c>
      <c r="V78" s="247">
        <v>35.67</v>
      </c>
      <c r="W78" s="118" t="s">
        <v>25</v>
      </c>
      <c r="X78" s="246">
        <v>125.505</v>
      </c>
      <c r="Y78" s="246">
        <v>74.558999999999997</v>
      </c>
      <c r="Z78" s="246">
        <v>68.837000000000003</v>
      </c>
      <c r="AA78" s="247">
        <v>66.849999999999994</v>
      </c>
      <c r="AB78" s="118" t="s">
        <v>25</v>
      </c>
      <c r="AC78" s="246">
        <f t="shared" si="3"/>
        <v>144.33074999999999</v>
      </c>
      <c r="AD78" s="246">
        <f t="shared" si="1"/>
        <v>85.742850000000004</v>
      </c>
      <c r="AE78" s="246">
        <f t="shared" si="1"/>
        <v>79.16255000000001</v>
      </c>
      <c r="AF78" s="246">
        <f t="shared" si="1"/>
        <v>76.877499999999998</v>
      </c>
      <c r="AG78" s="121"/>
      <c r="AH78" s="35">
        <v>20.000001000000001</v>
      </c>
      <c r="AI78" s="35" t="s">
        <v>143</v>
      </c>
      <c r="AK78" s="35">
        <v>3</v>
      </c>
      <c r="AL78" s="35" t="s">
        <v>864</v>
      </c>
      <c r="AP78" s="1155"/>
      <c r="AV78" s="1155"/>
    </row>
    <row r="79" spans="1:53" s="5" customFormat="1" ht="15.75" thickBot="1" x14ac:dyDescent="0.3">
      <c r="A79" s="1159"/>
      <c r="B79" s="1167"/>
      <c r="C79" s="113"/>
      <c r="I79" s="8"/>
      <c r="R79" s="124"/>
      <c r="AG79" s="124"/>
      <c r="AP79" s="1156"/>
      <c r="AV79" s="1156"/>
    </row>
    <row r="80" spans="1:53" s="6" customFormat="1" ht="15.75" thickTop="1" x14ac:dyDescent="0.25">
      <c r="A80" s="1157" t="s">
        <v>754</v>
      </c>
      <c r="I80" s="9"/>
      <c r="AP80" s="35"/>
    </row>
    <row r="81" spans="1:31" x14ac:dyDescent="0.25">
      <c r="A81" s="1158"/>
      <c r="C81" s="35"/>
      <c r="D81" s="35"/>
      <c r="E81" s="35"/>
      <c r="F81" s="35"/>
      <c r="G81" s="35"/>
      <c r="H81" s="35"/>
      <c r="I81" s="36"/>
      <c r="J81" s="35"/>
      <c r="K81" s="35"/>
      <c r="L81" s="35"/>
      <c r="M81" s="35"/>
      <c r="N81" s="35"/>
      <c r="O81" s="250"/>
      <c r="P81" s="250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31" x14ac:dyDescent="0.25">
      <c r="A82" s="1158"/>
      <c r="C82" s="252">
        <v>500</v>
      </c>
      <c r="D82" s="373">
        <v>3</v>
      </c>
      <c r="E82" s="248">
        <v>83</v>
      </c>
      <c r="F82" s="78" t="s">
        <v>205</v>
      </c>
      <c r="G82" s="78"/>
      <c r="H82" s="78">
        <v>500</v>
      </c>
      <c r="I82" s="78">
        <v>1000</v>
      </c>
      <c r="J82" s="78">
        <v>2000</v>
      </c>
      <c r="K82" s="78">
        <v>3000</v>
      </c>
      <c r="L82" s="78">
        <v>4000</v>
      </c>
      <c r="M82" s="78">
        <v>5000</v>
      </c>
      <c r="N82" s="78">
        <v>7500</v>
      </c>
      <c r="O82" s="78">
        <v>10000</v>
      </c>
      <c r="P82" s="78">
        <v>15000</v>
      </c>
      <c r="Q82" s="104">
        <v>20000</v>
      </c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31" x14ac:dyDescent="0.25">
      <c r="A83" s="1158"/>
      <c r="C83" s="253">
        <v>1000</v>
      </c>
      <c r="D83" s="250">
        <v>4</v>
      </c>
      <c r="E83" s="249">
        <v>84</v>
      </c>
      <c r="F83" s="244" t="s">
        <v>206</v>
      </c>
      <c r="G83" s="35" t="s">
        <v>212</v>
      </c>
      <c r="H83" s="244">
        <v>9.0999999999999998E-2</v>
      </c>
      <c r="I83" s="244">
        <v>8.1000000000000003E-2</v>
      </c>
      <c r="J83" s="244">
        <v>7.1999999999999995E-2</v>
      </c>
      <c r="K83" s="244">
        <v>6.6000000000000003E-2</v>
      </c>
      <c r="L83" s="244">
        <v>6.4000000000000001E-2</v>
      </c>
      <c r="M83" s="244">
        <v>6.3E-2</v>
      </c>
      <c r="N83" s="244">
        <v>6.0999999999999999E-2</v>
      </c>
      <c r="O83" s="244">
        <v>0.06</v>
      </c>
      <c r="P83" s="244">
        <v>5.6000000000000001E-2</v>
      </c>
      <c r="Q83" s="245">
        <v>0.05</v>
      </c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31" x14ac:dyDescent="0.25">
      <c r="A84" s="1158"/>
      <c r="C84" s="254">
        <v>2000</v>
      </c>
      <c r="D84" s="251">
        <v>5</v>
      </c>
      <c r="E84" s="249">
        <v>85</v>
      </c>
      <c r="F84" s="244" t="s">
        <v>207</v>
      </c>
      <c r="G84" s="35" t="s">
        <v>210</v>
      </c>
      <c r="H84" s="244">
        <v>0.13800000000000001</v>
      </c>
      <c r="I84" s="244">
        <v>0.11799999999999999</v>
      </c>
      <c r="J84" s="244">
        <v>0.1</v>
      </c>
      <c r="K84" s="244">
        <v>8.8999999999999996E-2</v>
      </c>
      <c r="L84" s="244">
        <v>8.2000000000000003E-2</v>
      </c>
      <c r="M84" s="244">
        <v>8.1000000000000003E-2</v>
      </c>
      <c r="N84" s="244">
        <v>7.9000000000000001E-2</v>
      </c>
      <c r="O84" s="244">
        <v>7.8E-2</v>
      </c>
      <c r="P84" s="244">
        <v>7.2999999999999995E-2</v>
      </c>
      <c r="Q84" s="245">
        <v>6.7000000000000004E-2</v>
      </c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31" x14ac:dyDescent="0.25">
      <c r="A85" s="1158"/>
      <c r="C85" s="254">
        <v>3000</v>
      </c>
      <c r="D85" s="251">
        <v>6</v>
      </c>
      <c r="E85" s="249">
        <v>86</v>
      </c>
      <c r="F85" s="246" t="s">
        <v>208</v>
      </c>
      <c r="G85" s="108" t="s">
        <v>211</v>
      </c>
      <c r="H85" s="246">
        <v>0.16500000000000001</v>
      </c>
      <c r="I85" s="246">
        <v>0.14199999999999999</v>
      </c>
      <c r="J85" s="246">
        <v>0.11899999999999999</v>
      </c>
      <c r="K85" s="246">
        <v>0.107</v>
      </c>
      <c r="L85" s="246">
        <v>9.8000000000000004E-2</v>
      </c>
      <c r="M85" s="246">
        <v>9.6000000000000002E-2</v>
      </c>
      <c r="N85" s="246">
        <v>9.5000000000000001E-2</v>
      </c>
      <c r="O85" s="246">
        <v>9.2999999999999999E-2</v>
      </c>
      <c r="P85" s="246">
        <v>8.7999999999999995E-2</v>
      </c>
      <c r="Q85" s="247">
        <v>8.1000000000000003E-2</v>
      </c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31" x14ac:dyDescent="0.25">
      <c r="A86" s="1158"/>
      <c r="C86" s="254">
        <v>4000</v>
      </c>
      <c r="D86" s="251">
        <v>7</v>
      </c>
      <c r="E86" s="371">
        <v>87</v>
      </c>
      <c r="F86" s="35"/>
      <c r="G86" s="35"/>
      <c r="H86" s="35"/>
      <c r="I86" s="36"/>
      <c r="J86" s="35"/>
      <c r="K86" s="250"/>
      <c r="L86" s="35"/>
      <c r="M86" s="35"/>
      <c r="N86" s="35"/>
      <c r="O86" s="251"/>
      <c r="P86" s="251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31" x14ac:dyDescent="0.25">
      <c r="A87" s="1158"/>
      <c r="C87" s="254">
        <v>5000</v>
      </c>
      <c r="D87" s="251">
        <v>8</v>
      </c>
      <c r="E87" s="371">
        <v>88</v>
      </c>
      <c r="F87" s="35"/>
      <c r="G87" s="35"/>
      <c r="H87" s="35"/>
      <c r="I87" s="36"/>
      <c r="J87" s="35"/>
      <c r="K87" s="35"/>
      <c r="L87" s="35"/>
      <c r="M87" s="35"/>
      <c r="N87" s="35"/>
      <c r="O87" s="251"/>
      <c r="P87" s="251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31" x14ac:dyDescent="0.25">
      <c r="A88" s="1158"/>
      <c r="C88" s="254">
        <v>7500</v>
      </c>
      <c r="D88" s="251">
        <v>9</v>
      </c>
      <c r="E88" s="371">
        <v>89</v>
      </c>
      <c r="F88" s="35"/>
      <c r="G88" s="35"/>
      <c r="H88" s="35"/>
      <c r="I88" s="36"/>
      <c r="J88" s="35"/>
      <c r="K88" s="35"/>
      <c r="L88" s="35"/>
      <c r="M88" s="35"/>
      <c r="N88" s="35"/>
      <c r="O88" s="251"/>
      <c r="P88" s="251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31" x14ac:dyDescent="0.25">
      <c r="A89" s="1158"/>
      <c r="C89" s="254">
        <v>10000</v>
      </c>
      <c r="D89" s="251">
        <v>10</v>
      </c>
      <c r="E89" s="371">
        <v>90</v>
      </c>
      <c r="F89" s="35"/>
      <c r="G89" s="35"/>
      <c r="H89" s="35"/>
      <c r="I89" s="36"/>
      <c r="J89" s="35"/>
      <c r="K89" s="35"/>
      <c r="L89" s="35"/>
      <c r="M89" s="35"/>
      <c r="N89" s="35"/>
      <c r="O89" s="251"/>
      <c r="P89" s="251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31" x14ac:dyDescent="0.25">
      <c r="A90" s="1158"/>
      <c r="C90" s="254">
        <v>15000</v>
      </c>
      <c r="D90" s="251">
        <v>11</v>
      </c>
      <c r="E90" s="371">
        <v>91</v>
      </c>
      <c r="F90" s="35"/>
      <c r="G90" s="35"/>
      <c r="H90" s="35"/>
      <c r="I90" s="36"/>
      <c r="J90" s="35"/>
      <c r="K90" s="35"/>
      <c r="L90" s="35"/>
      <c r="M90" s="35"/>
      <c r="N90" s="35"/>
      <c r="O90" s="251"/>
      <c r="P90" s="251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31" x14ac:dyDescent="0.25">
      <c r="A91" s="1158"/>
      <c r="C91" s="255">
        <v>20000</v>
      </c>
      <c r="D91" s="374">
        <v>12</v>
      </c>
      <c r="E91" s="372">
        <v>91</v>
      </c>
      <c r="F91" s="35"/>
      <c r="G91" s="35"/>
      <c r="H91" s="35"/>
      <c r="I91" s="36"/>
      <c r="J91" s="35"/>
      <c r="K91" s="35"/>
      <c r="L91" s="35"/>
      <c r="M91" s="35"/>
      <c r="N91" s="35"/>
      <c r="O91" s="251"/>
      <c r="P91" s="251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31" x14ac:dyDescent="0.25">
      <c r="A92" s="1158"/>
      <c r="C92" s="35"/>
      <c r="D92" s="250"/>
      <c r="E92" s="35"/>
      <c r="F92" s="35"/>
      <c r="G92" s="35"/>
      <c r="H92" s="35"/>
      <c r="I92" s="36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 x14ac:dyDescent="0.25">
      <c r="A93" s="1158"/>
      <c r="C93" s="35"/>
      <c r="D93" s="35"/>
      <c r="E93" s="35"/>
      <c r="F93" s="35"/>
      <c r="G93" s="35"/>
      <c r="H93" s="35"/>
      <c r="I93" s="36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31" s="5" customFormat="1" ht="15.75" thickBot="1" x14ac:dyDescent="0.3">
      <c r="A94" s="1159"/>
      <c r="I94" s="8"/>
    </row>
    <row r="95" spans="1:31" s="51" customFormat="1" ht="15" customHeight="1" thickTop="1" x14ac:dyDescent="0.25">
      <c r="A95" s="1157" t="s">
        <v>755</v>
      </c>
      <c r="B95" s="48"/>
      <c r="C95" s="6"/>
      <c r="D95" s="6"/>
      <c r="E95" s="6"/>
      <c r="F95" s="6"/>
      <c r="G95" s="6"/>
      <c r="H95" s="6"/>
      <c r="I95" s="9"/>
      <c r="J95" s="6"/>
      <c r="K95" s="49"/>
      <c r="L95" s="50"/>
      <c r="M95" s="50"/>
      <c r="N95" s="6"/>
      <c r="O95" s="6"/>
      <c r="P95" s="6"/>
      <c r="Q95" s="6"/>
      <c r="R95" s="6"/>
      <c r="S95" s="6"/>
      <c r="T95" s="6"/>
      <c r="U95" s="6"/>
    </row>
    <row r="96" spans="1:31" s="35" customFormat="1" ht="16.5" customHeight="1" x14ac:dyDescent="0.25">
      <c r="A96" s="1171"/>
      <c r="B96" s="46"/>
      <c r="C96" s="57" t="s">
        <v>0</v>
      </c>
      <c r="D96" s="58" t="s">
        <v>4</v>
      </c>
      <c r="E96" s="58" t="s">
        <v>5</v>
      </c>
      <c r="F96" s="58" t="s">
        <v>13</v>
      </c>
      <c r="G96" s="58" t="s">
        <v>14</v>
      </c>
      <c r="H96" s="58" t="s">
        <v>15</v>
      </c>
      <c r="I96" s="58" t="s">
        <v>16</v>
      </c>
      <c r="J96" s="39"/>
      <c r="K96" s="57" t="s">
        <v>28</v>
      </c>
      <c r="L96" s="58" t="s">
        <v>26</v>
      </c>
      <c r="M96" s="58" t="s">
        <v>27</v>
      </c>
      <c r="N96" s="39"/>
      <c r="O96" s="62" t="s">
        <v>31</v>
      </c>
      <c r="P96" s="34"/>
      <c r="Q96" s="62" t="s">
        <v>32</v>
      </c>
      <c r="S96" s="35" t="s">
        <v>3</v>
      </c>
      <c r="U96" s="39"/>
      <c r="X96" s="47" t="s">
        <v>47</v>
      </c>
    </row>
    <row r="97" spans="1:24" s="35" customFormat="1" ht="18" x14ac:dyDescent="0.25">
      <c r="A97" s="1171"/>
      <c r="B97" s="34"/>
      <c r="C97" s="59" t="s">
        <v>6</v>
      </c>
      <c r="D97" s="60">
        <v>1.17E-2</v>
      </c>
      <c r="E97" s="60">
        <v>1.12E-2</v>
      </c>
      <c r="F97" s="60">
        <v>1.66E-2</v>
      </c>
      <c r="G97" s="60">
        <v>1.6E-2</v>
      </c>
      <c r="H97" s="60">
        <v>7.7999999999999996E-3</v>
      </c>
      <c r="I97" s="60">
        <v>3.0000000000000001E-3</v>
      </c>
      <c r="J97" s="34"/>
      <c r="K97" s="59" t="s">
        <v>17</v>
      </c>
      <c r="L97" s="61">
        <v>1</v>
      </c>
      <c r="M97" s="61">
        <v>2</v>
      </c>
      <c r="O97" s="62" t="s">
        <v>30</v>
      </c>
      <c r="P97" s="34">
        <v>1</v>
      </c>
      <c r="Q97" s="62" t="s">
        <v>26</v>
      </c>
      <c r="R97" s="35">
        <v>1</v>
      </c>
      <c r="S97" s="35" t="s">
        <v>45</v>
      </c>
      <c r="X97" s="47" t="s">
        <v>69</v>
      </c>
    </row>
    <row r="98" spans="1:24" s="35" customFormat="1" ht="18" x14ac:dyDescent="0.25">
      <c r="A98" s="1171"/>
      <c r="B98" s="34"/>
      <c r="C98" s="59" t="s">
        <v>7</v>
      </c>
      <c r="D98" s="60">
        <v>7.4000000000000003E-3</v>
      </c>
      <c r="E98" s="60">
        <v>7.1000000000000004E-3</v>
      </c>
      <c r="F98" s="60">
        <v>1.12E-2</v>
      </c>
      <c r="G98" s="60">
        <v>1.0800000000000001E-2</v>
      </c>
      <c r="H98" s="60">
        <v>4.4999999999999997E-3</v>
      </c>
      <c r="I98" s="60">
        <v>1.8E-3</v>
      </c>
      <c r="J98" s="34"/>
      <c r="K98" s="59" t="s">
        <v>18</v>
      </c>
      <c r="L98" s="61">
        <v>1.4</v>
      </c>
      <c r="M98" s="61">
        <v>2.8</v>
      </c>
      <c r="O98" s="62" t="s">
        <v>29</v>
      </c>
      <c r="P98" s="34">
        <v>2</v>
      </c>
      <c r="Q98" s="62" t="s">
        <v>27</v>
      </c>
      <c r="R98" s="35">
        <v>2</v>
      </c>
      <c r="S98" s="35" t="s">
        <v>33</v>
      </c>
      <c r="X98" s="47" t="s">
        <v>70</v>
      </c>
    </row>
    <row r="99" spans="1:24" s="35" customFormat="1" ht="18" x14ac:dyDescent="0.25">
      <c r="A99" s="1171"/>
      <c r="B99" s="34"/>
      <c r="C99" s="59" t="s">
        <v>8</v>
      </c>
      <c r="D99" s="60">
        <v>5.3E-3</v>
      </c>
      <c r="E99" s="60">
        <v>5.0000000000000001E-3</v>
      </c>
      <c r="F99" s="60">
        <v>8.5000000000000006E-3</v>
      </c>
      <c r="G99" s="60">
        <v>8.2000000000000007E-3</v>
      </c>
      <c r="H99" s="60">
        <v>3.0000000000000001E-3</v>
      </c>
      <c r="I99" s="60">
        <v>1.2999999999999999E-3</v>
      </c>
      <c r="J99" s="34"/>
      <c r="K99" s="59" t="s">
        <v>19</v>
      </c>
      <c r="L99" s="61">
        <v>2.2000000000000002</v>
      </c>
      <c r="M99" s="61">
        <v>4.4000000000000004</v>
      </c>
      <c r="X99" s="47" t="s">
        <v>61</v>
      </c>
    </row>
    <row r="100" spans="1:24" s="35" customFormat="1" x14ac:dyDescent="0.25">
      <c r="A100" s="1171"/>
      <c r="B100" s="34"/>
      <c r="C100" s="59" t="s">
        <v>9</v>
      </c>
      <c r="D100" s="60">
        <v>4.1999999999999997E-3</v>
      </c>
      <c r="E100" s="60">
        <v>4.0000000000000001E-3</v>
      </c>
      <c r="F100" s="60">
        <v>7.1000000000000004E-3</v>
      </c>
      <c r="G100" s="60">
        <v>6.8999999999999999E-3</v>
      </c>
      <c r="H100" s="60">
        <v>2.5000000000000001E-3</v>
      </c>
      <c r="I100" s="60">
        <v>1E-3</v>
      </c>
      <c r="J100" s="34"/>
      <c r="K100" s="59" t="s">
        <v>20</v>
      </c>
      <c r="L100" s="61">
        <v>1.3</v>
      </c>
      <c r="M100" s="61">
        <v>2.6</v>
      </c>
    </row>
    <row r="101" spans="1:24" s="35" customFormat="1" x14ac:dyDescent="0.25">
      <c r="A101" s="1171"/>
      <c r="B101" s="34"/>
      <c r="C101" s="59" t="s">
        <v>10</v>
      </c>
      <c r="D101" s="60">
        <v>3.3999999999999998E-3</v>
      </c>
      <c r="E101" s="60">
        <v>3.3E-3</v>
      </c>
      <c r="F101" s="60">
        <v>6.3E-3</v>
      </c>
      <c r="G101" s="60">
        <v>6.1000000000000004E-3</v>
      </c>
      <c r="H101" s="60">
        <v>2E-3</v>
      </c>
      <c r="I101" s="60">
        <v>8.0000000000000004E-4</v>
      </c>
      <c r="J101" s="34"/>
      <c r="K101" s="59" t="s">
        <v>21</v>
      </c>
      <c r="L101" s="61">
        <v>1.8</v>
      </c>
      <c r="M101" s="61">
        <v>3.6</v>
      </c>
      <c r="S101" s="22" t="s">
        <v>622</v>
      </c>
      <c r="U101" s="35">
        <v>250</v>
      </c>
    </row>
    <row r="102" spans="1:24" s="35" customFormat="1" x14ac:dyDescent="0.25">
      <c r="A102" s="1171"/>
      <c r="B102" s="34"/>
      <c r="C102" s="59" t="s">
        <v>11</v>
      </c>
      <c r="D102" s="60">
        <v>2.7000000000000001E-3</v>
      </c>
      <c r="E102" s="60">
        <v>2.5999999999999999E-3</v>
      </c>
      <c r="F102" s="60">
        <v>5.3E-3</v>
      </c>
      <c r="G102" s="60">
        <v>5.1999999999999998E-3</v>
      </c>
      <c r="H102" s="60">
        <v>1.2999999999999999E-3</v>
      </c>
      <c r="I102" s="60">
        <v>5.0000000000000001E-4</v>
      </c>
      <c r="J102" s="34"/>
      <c r="K102" s="59" t="s">
        <v>22</v>
      </c>
      <c r="L102" s="61">
        <v>2.9</v>
      </c>
      <c r="M102" s="61">
        <v>5.8</v>
      </c>
    </row>
    <row r="103" spans="1:24" s="35" customFormat="1" x14ac:dyDescent="0.25">
      <c r="A103" s="1171"/>
      <c r="B103" s="34"/>
      <c r="C103" s="59" t="s">
        <v>12</v>
      </c>
      <c r="D103" s="60">
        <v>2E-3</v>
      </c>
      <c r="E103" s="60">
        <v>1.9E-3</v>
      </c>
      <c r="F103" s="60">
        <v>4.4999999999999997E-3</v>
      </c>
      <c r="G103" s="60">
        <v>4.4000000000000003E-3</v>
      </c>
      <c r="H103" s="60">
        <v>1E-3</v>
      </c>
      <c r="I103" s="60">
        <v>5.0000000000000001E-4</v>
      </c>
      <c r="J103" s="34"/>
      <c r="K103" s="59" t="s">
        <v>23</v>
      </c>
      <c r="L103" s="61">
        <v>1.8</v>
      </c>
      <c r="M103" s="61">
        <v>3.6</v>
      </c>
    </row>
    <row r="104" spans="1:24" s="35" customFormat="1" x14ac:dyDescent="0.25">
      <c r="A104" s="1171"/>
      <c r="B104" s="34"/>
      <c r="I104" s="36"/>
      <c r="J104" s="34"/>
      <c r="K104" s="59" t="s">
        <v>24</v>
      </c>
      <c r="L104" s="61">
        <v>2.5</v>
      </c>
      <c r="M104" s="61">
        <v>5</v>
      </c>
    </row>
    <row r="105" spans="1:24" s="39" customFormat="1" x14ac:dyDescent="0.25">
      <c r="A105" s="1171"/>
      <c r="B105" s="34"/>
      <c r="C105" s="35"/>
      <c r="D105" s="35"/>
      <c r="E105" s="35"/>
      <c r="F105" s="35"/>
      <c r="G105" s="35"/>
      <c r="H105" s="35"/>
      <c r="I105" s="36"/>
      <c r="J105" s="34"/>
      <c r="K105" s="59" t="s">
        <v>25</v>
      </c>
      <c r="L105" s="61">
        <v>4</v>
      </c>
      <c r="M105" s="61">
        <v>8</v>
      </c>
      <c r="N105" s="35"/>
      <c r="O105" s="35"/>
      <c r="P105" s="35"/>
      <c r="Q105" s="35"/>
      <c r="R105" s="35"/>
      <c r="S105" s="35"/>
      <c r="T105" s="35"/>
      <c r="U105" s="35"/>
    </row>
    <row r="106" spans="1:24" s="39" customFormat="1" x14ac:dyDescent="0.25">
      <c r="A106" s="1171"/>
      <c r="B106" s="34"/>
      <c r="C106" s="35"/>
      <c r="D106" s="35"/>
      <c r="E106" s="35"/>
      <c r="F106" s="35"/>
      <c r="G106" s="35"/>
      <c r="H106" s="35"/>
      <c r="I106" s="36"/>
      <c r="J106" s="35"/>
      <c r="K106" s="37"/>
      <c r="L106" s="38"/>
      <c r="M106" s="38"/>
      <c r="N106" s="35"/>
      <c r="O106" s="35"/>
      <c r="P106" s="35"/>
      <c r="Q106" s="35"/>
      <c r="R106" s="35"/>
      <c r="S106" s="35"/>
      <c r="T106" s="35"/>
      <c r="U106" s="35"/>
    </row>
    <row r="107" spans="1:24" s="39" customFormat="1" x14ac:dyDescent="0.25">
      <c r="A107" s="1171"/>
      <c r="B107" s="34"/>
      <c r="C107" s="35"/>
      <c r="D107" s="35"/>
      <c r="E107" s="35"/>
      <c r="F107" s="35"/>
      <c r="G107" s="35"/>
      <c r="H107" s="35"/>
      <c r="I107" s="36"/>
      <c r="J107" s="35"/>
      <c r="K107" s="37"/>
      <c r="L107" s="38"/>
      <c r="M107" s="38"/>
      <c r="N107" s="35"/>
      <c r="O107" s="35"/>
      <c r="P107" s="35"/>
      <c r="Q107" s="35"/>
      <c r="R107" s="35"/>
      <c r="S107" s="35"/>
      <c r="T107" s="35"/>
      <c r="U107" s="35"/>
    </row>
    <row r="108" spans="1:24" s="39" customFormat="1" x14ac:dyDescent="0.25">
      <c r="A108" s="1171"/>
      <c r="B108" s="34"/>
      <c r="C108" s="35"/>
      <c r="D108" s="35"/>
      <c r="E108" s="35"/>
      <c r="F108" s="35"/>
      <c r="G108" s="35"/>
      <c r="H108" s="35"/>
      <c r="I108" s="36"/>
      <c r="J108" s="35"/>
      <c r="K108" s="37"/>
      <c r="L108" s="38"/>
      <c r="M108" s="38"/>
      <c r="N108" s="35"/>
      <c r="O108" s="35"/>
      <c r="P108" s="35"/>
      <c r="Q108" s="35"/>
      <c r="R108" s="35"/>
      <c r="S108" s="35"/>
      <c r="T108" s="35"/>
      <c r="U108" s="35"/>
    </row>
    <row r="109" spans="1:24" s="5" customFormat="1" ht="15.75" thickBot="1" x14ac:dyDescent="0.3">
      <c r="A109" s="1172"/>
      <c r="B109" s="52"/>
      <c r="C109" s="53"/>
      <c r="D109" s="53"/>
      <c r="E109" s="53"/>
      <c r="F109" s="53"/>
      <c r="G109" s="53"/>
      <c r="H109" s="53"/>
      <c r="I109" s="54"/>
      <c r="J109" s="53"/>
      <c r="K109" s="55"/>
      <c r="L109" s="56"/>
      <c r="M109" s="56"/>
      <c r="N109" s="53"/>
      <c r="O109" s="53"/>
      <c r="P109" s="53"/>
      <c r="Q109" s="53"/>
      <c r="R109" s="53"/>
      <c r="S109" s="53"/>
      <c r="T109" s="53"/>
      <c r="U109" s="53"/>
    </row>
    <row r="110" spans="1:24" s="35" customFormat="1" ht="15.75" thickTop="1" x14ac:dyDescent="0.25">
      <c r="A110" s="1157" t="s">
        <v>756</v>
      </c>
      <c r="I110" s="36"/>
    </row>
    <row r="111" spans="1:24" x14ac:dyDescent="0.25">
      <c r="A111" s="1158"/>
      <c r="C111" s="274"/>
      <c r="D111" s="275" t="s">
        <v>221</v>
      </c>
      <c r="E111" s="275" t="s">
        <v>222</v>
      </c>
      <c r="F111" s="275" t="s">
        <v>223</v>
      </c>
      <c r="G111" s="275" t="s">
        <v>224</v>
      </c>
      <c r="H111" s="276" t="s">
        <v>225</v>
      </c>
      <c r="I111"/>
    </row>
    <row r="112" spans="1:24" ht="15.75" customHeight="1" x14ac:dyDescent="0.25">
      <c r="A112" s="1158"/>
      <c r="C112" s="272" t="s">
        <v>17</v>
      </c>
      <c r="D112" s="277">
        <v>0.72099999999999997</v>
      </c>
      <c r="E112" s="277">
        <v>0.75</v>
      </c>
      <c r="F112" s="277">
        <v>0.76400000000000001</v>
      </c>
      <c r="G112" s="277">
        <v>0.83699999999999997</v>
      </c>
      <c r="H112" s="278">
        <v>0.98299999999999998</v>
      </c>
      <c r="I112"/>
      <c r="J112" s="281">
        <v>10</v>
      </c>
      <c r="K112" s="282">
        <v>2</v>
      </c>
      <c r="M112" s="274" t="s">
        <v>227</v>
      </c>
      <c r="N112" s="104"/>
      <c r="P112" s="103" t="s">
        <v>219</v>
      </c>
      <c r="Q112" s="104"/>
    </row>
    <row r="113" spans="1:17" x14ac:dyDescent="0.25">
      <c r="A113" s="1158"/>
      <c r="C113" s="272" t="s">
        <v>20</v>
      </c>
      <c r="D113" s="277">
        <v>0.76900000000000002</v>
      </c>
      <c r="E113" s="277">
        <v>0.79800000000000004</v>
      </c>
      <c r="F113" s="277">
        <v>0.81200000000000006</v>
      </c>
      <c r="G113" s="277">
        <v>0.88500000000000001</v>
      </c>
      <c r="H113" s="278">
        <v>1.0309999999999999</v>
      </c>
      <c r="I113"/>
      <c r="J113" s="283">
        <v>20</v>
      </c>
      <c r="K113" s="284">
        <v>3</v>
      </c>
      <c r="M113" s="105">
        <v>0.5</v>
      </c>
      <c r="N113" s="288">
        <v>1.5</v>
      </c>
      <c r="O113" s="287"/>
      <c r="P113" s="105" t="s">
        <v>228</v>
      </c>
      <c r="Q113" s="106">
        <v>1</v>
      </c>
    </row>
    <row r="114" spans="1:17" x14ac:dyDescent="0.25">
      <c r="A114" s="1158"/>
      <c r="C114" s="272" t="s">
        <v>23</v>
      </c>
      <c r="D114" s="277">
        <v>0.93300000000000005</v>
      </c>
      <c r="E114" s="277">
        <v>0.97699999999999998</v>
      </c>
      <c r="F114" s="277">
        <v>0.999</v>
      </c>
      <c r="G114" s="277">
        <v>1.1080000000000001</v>
      </c>
      <c r="H114" s="278">
        <v>1.327</v>
      </c>
      <c r="I114"/>
      <c r="J114" s="283">
        <v>25</v>
      </c>
      <c r="K114" s="284">
        <v>4</v>
      </c>
      <c r="M114" s="105">
        <v>1</v>
      </c>
      <c r="N114" s="288">
        <v>1</v>
      </c>
      <c r="O114" s="287"/>
      <c r="P114" s="105" t="s">
        <v>229</v>
      </c>
      <c r="Q114" s="106">
        <v>1.1499999999999999</v>
      </c>
    </row>
    <row r="115" spans="1:17" x14ac:dyDescent="0.25">
      <c r="A115" s="1158"/>
      <c r="C115" s="272" t="s">
        <v>18</v>
      </c>
      <c r="D115" s="277">
        <v>0.73499999999999999</v>
      </c>
      <c r="E115" s="277">
        <v>0.76400000000000001</v>
      </c>
      <c r="F115" s="277">
        <v>0.77800000000000002</v>
      </c>
      <c r="G115" s="277">
        <v>0.85099999999999998</v>
      </c>
      <c r="H115" s="278">
        <v>0.997</v>
      </c>
      <c r="I115"/>
      <c r="J115" s="283">
        <v>50</v>
      </c>
      <c r="K115" s="284">
        <v>5</v>
      </c>
      <c r="M115" s="105">
        <v>2</v>
      </c>
      <c r="N115" s="288">
        <v>0.9</v>
      </c>
      <c r="O115" s="287"/>
      <c r="P115" s="105" t="s">
        <v>230</v>
      </c>
      <c r="Q115" s="106">
        <v>1.2</v>
      </c>
    </row>
    <row r="116" spans="1:17" x14ac:dyDescent="0.25">
      <c r="A116" s="1158"/>
      <c r="C116" s="272" t="s">
        <v>21</v>
      </c>
      <c r="D116" s="277">
        <v>0.78300000000000003</v>
      </c>
      <c r="E116" s="277">
        <v>0.81200000000000006</v>
      </c>
      <c r="F116" s="277">
        <v>0.82599999999999996</v>
      </c>
      <c r="G116" s="277">
        <v>0.89900000000000002</v>
      </c>
      <c r="H116" s="278">
        <v>1.0449999999999999</v>
      </c>
      <c r="I116"/>
      <c r="J116" s="285">
        <v>100</v>
      </c>
      <c r="K116" s="286">
        <v>6</v>
      </c>
      <c r="M116" s="105">
        <v>3</v>
      </c>
      <c r="N116" s="288">
        <v>0.8</v>
      </c>
      <c r="O116" s="287"/>
      <c r="P116" s="105" t="s">
        <v>231</v>
      </c>
      <c r="Q116" s="106">
        <v>1.5</v>
      </c>
    </row>
    <row r="117" spans="1:17" x14ac:dyDescent="0.25">
      <c r="A117" s="1158"/>
      <c r="C117" s="272" t="s">
        <v>24</v>
      </c>
      <c r="D117" s="277">
        <v>1.0029999999999999</v>
      </c>
      <c r="E117" s="277">
        <v>1.0469999999999999</v>
      </c>
      <c r="F117" s="277">
        <v>1.069</v>
      </c>
      <c r="G117" s="277">
        <v>1.1779999999999999</v>
      </c>
      <c r="H117" s="278">
        <v>1.3620000000000001</v>
      </c>
      <c r="I117"/>
      <c r="M117" s="107">
        <v>30</v>
      </c>
      <c r="N117" s="289">
        <v>0.6</v>
      </c>
      <c r="O117" s="287"/>
      <c r="P117" s="105" t="s">
        <v>232</v>
      </c>
      <c r="Q117" s="106">
        <v>1.75</v>
      </c>
    </row>
    <row r="118" spans="1:17" x14ac:dyDescent="0.25">
      <c r="A118" s="1158"/>
      <c r="C118" s="272" t="s">
        <v>19</v>
      </c>
      <c r="D118" s="277">
        <v>0.85899999999999999</v>
      </c>
      <c r="E118" s="277">
        <v>0.88800000000000001</v>
      </c>
      <c r="F118" s="277">
        <v>0.90300000000000002</v>
      </c>
      <c r="G118" s="277">
        <v>0.97599999999999998</v>
      </c>
      <c r="H118" s="278">
        <v>1.1220000000000001</v>
      </c>
      <c r="I118"/>
      <c r="P118" s="107" t="s">
        <v>233</v>
      </c>
      <c r="Q118" s="109">
        <v>2</v>
      </c>
    </row>
    <row r="119" spans="1:17" x14ac:dyDescent="0.25">
      <c r="A119" s="1158"/>
      <c r="C119" s="272" t="s">
        <v>22</v>
      </c>
      <c r="D119" s="277">
        <v>0.97499999999999998</v>
      </c>
      <c r="E119" s="277">
        <v>1.0329999999999999</v>
      </c>
      <c r="F119" s="277">
        <v>1.0620000000000001</v>
      </c>
      <c r="G119" s="277">
        <v>1.208</v>
      </c>
      <c r="H119" s="278">
        <v>1.4990000000000001</v>
      </c>
      <c r="I119"/>
    </row>
    <row r="120" spans="1:17" x14ac:dyDescent="0.25">
      <c r="A120" s="1158"/>
      <c r="C120" s="273" t="s">
        <v>25</v>
      </c>
      <c r="D120" s="279">
        <v>1.274</v>
      </c>
      <c r="E120" s="279">
        <v>1.347</v>
      </c>
      <c r="F120" s="279">
        <v>1.383</v>
      </c>
      <c r="G120" s="279">
        <v>1.5649999999999999</v>
      </c>
      <c r="H120" s="280">
        <v>1.8460000000000001</v>
      </c>
      <c r="I120"/>
    </row>
    <row r="121" spans="1:17" x14ac:dyDescent="0.25">
      <c r="A121" s="1158"/>
    </row>
    <row r="122" spans="1:17" x14ac:dyDescent="0.25">
      <c r="A122" s="1158"/>
    </row>
    <row r="123" spans="1:17" x14ac:dyDescent="0.25">
      <c r="A123" s="1158"/>
    </row>
    <row r="124" spans="1:17" s="5" customFormat="1" ht="15.75" thickBot="1" x14ac:dyDescent="0.3">
      <c r="A124" s="1159"/>
      <c r="I124" s="8"/>
    </row>
    <row r="125" spans="1:17" s="6" customFormat="1" ht="15.75" thickTop="1" x14ac:dyDescent="0.25">
      <c r="A125" s="1157" t="s">
        <v>757</v>
      </c>
      <c r="I125" s="9"/>
    </row>
    <row r="126" spans="1:17" x14ac:dyDescent="0.25">
      <c r="A126" s="1158"/>
    </row>
    <row r="127" spans="1:17" x14ac:dyDescent="0.25">
      <c r="A127" s="1158"/>
      <c r="C127" s="103" t="s">
        <v>242</v>
      </c>
      <c r="D127" s="104"/>
      <c r="F127" s="103" t="s">
        <v>246</v>
      </c>
      <c r="G127" s="78"/>
      <c r="H127" s="104"/>
      <c r="J127" s="103" t="s">
        <v>247</v>
      </c>
      <c r="K127" s="104"/>
    </row>
    <row r="128" spans="1:17" x14ac:dyDescent="0.25">
      <c r="A128" s="1158"/>
      <c r="C128" s="304" t="s">
        <v>243</v>
      </c>
      <c r="D128" s="106">
        <v>3.5</v>
      </c>
      <c r="F128" s="105">
        <v>20</v>
      </c>
      <c r="G128" s="35">
        <v>50</v>
      </c>
      <c r="H128" s="106">
        <v>1</v>
      </c>
      <c r="J128" s="105" t="s">
        <v>248</v>
      </c>
      <c r="K128" s="106">
        <v>1</v>
      </c>
    </row>
    <row r="129" spans="1:58" x14ac:dyDescent="0.25">
      <c r="A129" s="1158"/>
      <c r="C129" s="304" t="s">
        <v>244</v>
      </c>
      <c r="D129" s="106">
        <v>7</v>
      </c>
      <c r="F129" s="105">
        <v>40</v>
      </c>
      <c r="G129" s="35">
        <v>25</v>
      </c>
      <c r="H129" s="106">
        <v>1.8</v>
      </c>
      <c r="J129" s="105" t="s">
        <v>249</v>
      </c>
      <c r="K129" s="106">
        <v>1.8</v>
      </c>
    </row>
    <row r="130" spans="1:58" x14ac:dyDescent="0.25">
      <c r="A130" s="1158"/>
      <c r="C130" s="305" t="s">
        <v>245</v>
      </c>
      <c r="D130" s="109">
        <v>10.5</v>
      </c>
      <c r="F130" s="105">
        <v>50</v>
      </c>
      <c r="G130" s="35">
        <v>20</v>
      </c>
      <c r="H130" s="106">
        <v>2</v>
      </c>
      <c r="J130" s="107" t="s">
        <v>250</v>
      </c>
      <c r="K130" s="109">
        <v>2.2000000000000002</v>
      </c>
    </row>
    <row r="131" spans="1:58" x14ac:dyDescent="0.25">
      <c r="A131" s="1158"/>
      <c r="F131" s="105">
        <v>67</v>
      </c>
      <c r="G131" s="35">
        <v>15</v>
      </c>
      <c r="H131" s="106">
        <v>2.68</v>
      </c>
    </row>
    <row r="132" spans="1:58" x14ac:dyDescent="0.25">
      <c r="A132" s="1158"/>
      <c r="F132" s="105">
        <v>100</v>
      </c>
      <c r="G132" s="35">
        <v>10</v>
      </c>
      <c r="H132" s="106">
        <v>4</v>
      </c>
    </row>
    <row r="133" spans="1:58" x14ac:dyDescent="0.25">
      <c r="A133" s="1158"/>
      <c r="F133" s="107">
        <v>200</v>
      </c>
      <c r="G133" s="108">
        <v>5</v>
      </c>
      <c r="H133" s="109">
        <v>6.4</v>
      </c>
    </row>
    <row r="134" spans="1:58" x14ac:dyDescent="0.25">
      <c r="A134" s="1158"/>
    </row>
    <row r="135" spans="1:58" x14ac:dyDescent="0.25">
      <c r="A135" s="1158"/>
    </row>
    <row r="136" spans="1:58" x14ac:dyDescent="0.25">
      <c r="A136" s="1158"/>
    </row>
    <row r="137" spans="1:58" x14ac:dyDescent="0.25">
      <c r="A137" s="1158"/>
    </row>
    <row r="138" spans="1:58" x14ac:dyDescent="0.25">
      <c r="A138" s="1158"/>
    </row>
    <row r="139" spans="1:58" s="5" customFormat="1" ht="15.75" thickBot="1" x14ac:dyDescent="0.3">
      <c r="A139" s="1159"/>
      <c r="I139" s="8"/>
    </row>
    <row r="140" spans="1:58" s="6" customFormat="1" ht="15.75" thickTop="1" x14ac:dyDescent="0.25">
      <c r="A140" s="1157" t="s">
        <v>758</v>
      </c>
      <c r="I140" s="9"/>
    </row>
    <row r="141" spans="1:58" s="425" customFormat="1" x14ac:dyDescent="0.25">
      <c r="A141" s="1158"/>
      <c r="C141" s="421" t="s">
        <v>549</v>
      </c>
      <c r="F141" s="421" t="s">
        <v>550</v>
      </c>
      <c r="I141" s="421" t="s">
        <v>551</v>
      </c>
      <c r="O141" s="421" t="s">
        <v>552</v>
      </c>
      <c r="W141" s="421" t="s">
        <v>553</v>
      </c>
      <c r="AG141" s="421" t="s">
        <v>554</v>
      </c>
      <c r="AN141" s="421" t="s">
        <v>555</v>
      </c>
      <c r="AR141" s="421" t="s">
        <v>556</v>
      </c>
      <c r="AW141" s="421" t="s">
        <v>771</v>
      </c>
      <c r="BC141" s="421" t="s">
        <v>770</v>
      </c>
    </row>
    <row r="142" spans="1:58" s="425" customFormat="1" x14ac:dyDescent="0.25">
      <c r="A142" s="1158"/>
      <c r="C142" s="422" t="s">
        <v>482</v>
      </c>
      <c r="D142" s="426">
        <v>1</v>
      </c>
      <c r="F142" s="422" t="s">
        <v>557</v>
      </c>
      <c r="H142" s="426">
        <v>1</v>
      </c>
      <c r="I142" s="422" t="s">
        <v>495</v>
      </c>
      <c r="K142" s="512">
        <v>0</v>
      </c>
      <c r="O142" s="425" t="s">
        <v>492</v>
      </c>
      <c r="W142" s="425" t="s">
        <v>558</v>
      </c>
      <c r="AC142" s="425" t="s">
        <v>278</v>
      </c>
      <c r="AD142" s="426">
        <v>1</v>
      </c>
      <c r="AE142" s="512">
        <v>0.6</v>
      </c>
      <c r="AG142" s="425" t="s">
        <v>559</v>
      </c>
      <c r="AL142" s="426">
        <v>1.2</v>
      </c>
      <c r="AN142" s="425" t="s">
        <v>625</v>
      </c>
      <c r="AP142" s="565">
        <v>0</v>
      </c>
      <c r="AR142" s="425" t="s">
        <v>560</v>
      </c>
      <c r="AT142" s="565">
        <v>0</v>
      </c>
      <c r="AX142" s="509" t="s">
        <v>278</v>
      </c>
      <c r="AY142" s="509" t="s">
        <v>280</v>
      </c>
      <c r="AZ142" s="509" t="s">
        <v>282</v>
      </c>
      <c r="BA142" s="509" t="s">
        <v>409</v>
      </c>
    </row>
    <row r="143" spans="1:58" s="425" customFormat="1" x14ac:dyDescent="0.25">
      <c r="A143" s="1158"/>
      <c r="C143" s="422" t="s">
        <v>561</v>
      </c>
      <c r="D143" s="426">
        <v>1</v>
      </c>
      <c r="F143" s="422" t="s">
        <v>498</v>
      </c>
      <c r="H143" s="426">
        <v>2</v>
      </c>
      <c r="I143" s="430" t="s">
        <v>562</v>
      </c>
      <c r="K143" s="512">
        <v>0.5</v>
      </c>
      <c r="O143" s="425" t="s">
        <v>563</v>
      </c>
      <c r="W143" s="425" t="s">
        <v>564</v>
      </c>
      <c r="AC143" s="425" t="s">
        <v>280</v>
      </c>
      <c r="AD143" s="426">
        <v>2</v>
      </c>
      <c r="AE143" s="512">
        <v>0.7</v>
      </c>
      <c r="AG143" s="425" t="s">
        <v>565</v>
      </c>
      <c r="AL143" s="426">
        <v>1</v>
      </c>
      <c r="AN143" s="425" t="s">
        <v>566</v>
      </c>
      <c r="AP143" s="565">
        <v>0.15</v>
      </c>
      <c r="AR143" s="425" t="s">
        <v>469</v>
      </c>
      <c r="AT143" s="565">
        <v>0.25</v>
      </c>
      <c r="AW143" s="422" t="s">
        <v>482</v>
      </c>
      <c r="AX143" s="425">
        <v>2.4E-2</v>
      </c>
      <c r="AY143" s="425">
        <v>4.2000000000000003E-2</v>
      </c>
      <c r="AZ143" s="425">
        <v>6.9000000000000006E-2</v>
      </c>
      <c r="BA143" s="425">
        <v>0.112</v>
      </c>
      <c r="BC143" s="422" t="s">
        <v>482</v>
      </c>
      <c r="BD143" s="425">
        <v>6665</v>
      </c>
      <c r="BE143" s="425">
        <v>1000</v>
      </c>
      <c r="BF143" s="425">
        <f>ROUND(BE143/BD143,5)</f>
        <v>0.15004000000000001</v>
      </c>
    </row>
    <row r="144" spans="1:58" s="425" customFormat="1" x14ac:dyDescent="0.25">
      <c r="A144" s="1158"/>
      <c r="C144" s="422" t="s">
        <v>567</v>
      </c>
      <c r="D144" s="426">
        <v>1</v>
      </c>
      <c r="I144" s="422" t="s">
        <v>568</v>
      </c>
      <c r="K144" s="512">
        <v>0.5</v>
      </c>
      <c r="W144" s="425" t="s">
        <v>569</v>
      </c>
      <c r="AC144" s="425" t="s">
        <v>282</v>
      </c>
      <c r="AD144" s="426">
        <v>3</v>
      </c>
      <c r="AE144" s="512">
        <v>0.75</v>
      </c>
      <c r="AG144" s="425" t="s">
        <v>484</v>
      </c>
      <c r="AL144" s="426">
        <v>0.9</v>
      </c>
      <c r="AN144" s="425" t="s">
        <v>570</v>
      </c>
      <c r="AP144" s="565">
        <v>0</v>
      </c>
      <c r="AW144" s="422" t="s">
        <v>561</v>
      </c>
      <c r="AX144" s="425">
        <v>5.8000000000000003E-2</v>
      </c>
      <c r="AY144" s="425">
        <v>8.5999999999999993E-2</v>
      </c>
      <c r="AZ144" s="425">
        <v>0.14099999999999999</v>
      </c>
      <c r="BA144" s="425">
        <v>0.23100000000000001</v>
      </c>
      <c r="BC144" s="422" t="s">
        <v>561</v>
      </c>
      <c r="BD144" s="425">
        <v>3335</v>
      </c>
      <c r="BE144" s="425">
        <v>500</v>
      </c>
      <c r="BF144" s="425">
        <f t="shared" ref="BF144:BF149" si="4">ROUND(BE144/BD144,5)</f>
        <v>0.14993000000000001</v>
      </c>
    </row>
    <row r="145" spans="1:58" s="425" customFormat="1" x14ac:dyDescent="0.25">
      <c r="A145" s="1158"/>
      <c r="C145" s="422" t="s">
        <v>571</v>
      </c>
      <c r="D145" s="426">
        <v>1</v>
      </c>
      <c r="I145" s="430" t="s">
        <v>572</v>
      </c>
      <c r="K145" s="512">
        <v>0.5</v>
      </c>
      <c r="W145" s="425" t="s">
        <v>573</v>
      </c>
      <c r="AC145" s="425" t="s">
        <v>280</v>
      </c>
      <c r="AD145" s="426">
        <v>2</v>
      </c>
      <c r="AE145" s="512">
        <v>0.7</v>
      </c>
      <c r="AW145" s="422" t="s">
        <v>567</v>
      </c>
      <c r="AX145" s="425">
        <v>0.105</v>
      </c>
      <c r="AY145" s="425">
        <v>0.183</v>
      </c>
      <c r="AZ145" s="425">
        <v>0.29599999999999999</v>
      </c>
      <c r="BA145" s="425">
        <v>0.48599999999999999</v>
      </c>
      <c r="BC145" s="422" t="s">
        <v>567</v>
      </c>
      <c r="BD145" s="425">
        <v>1665</v>
      </c>
      <c r="BE145" s="425">
        <v>250</v>
      </c>
      <c r="BF145" s="425">
        <f t="shared" si="4"/>
        <v>0.15015000000000001</v>
      </c>
    </row>
    <row r="146" spans="1:58" s="425" customFormat="1" x14ac:dyDescent="0.25">
      <c r="A146" s="1158"/>
      <c r="C146" s="422" t="s">
        <v>574</v>
      </c>
      <c r="D146" s="426">
        <v>1</v>
      </c>
      <c r="I146" s="430"/>
      <c r="W146" s="425" t="s">
        <v>575</v>
      </c>
      <c r="AC146" s="425" t="s">
        <v>282</v>
      </c>
      <c r="AD146" s="426">
        <v>3</v>
      </c>
      <c r="AE146" s="512">
        <v>0.75</v>
      </c>
      <c r="AN146" s="421" t="s">
        <v>576</v>
      </c>
      <c r="AR146" s="421" t="s">
        <v>577</v>
      </c>
      <c r="AW146" s="422" t="s">
        <v>571</v>
      </c>
      <c r="AX146" s="425">
        <v>0.221</v>
      </c>
      <c r="AY146" s="425">
        <v>0.38400000000000001</v>
      </c>
      <c r="AZ146" s="425">
        <v>0.624</v>
      </c>
      <c r="BA146" s="425">
        <v>1.02</v>
      </c>
      <c r="BC146" s="422" t="s">
        <v>571</v>
      </c>
      <c r="BD146" s="425">
        <v>835</v>
      </c>
      <c r="BE146" s="425">
        <v>125</v>
      </c>
      <c r="BF146" s="425">
        <f t="shared" si="4"/>
        <v>0.1497</v>
      </c>
    </row>
    <row r="147" spans="1:58" s="425" customFormat="1" ht="15" customHeight="1" x14ac:dyDescent="0.25">
      <c r="A147" s="1158"/>
      <c r="C147" s="422" t="s">
        <v>578</v>
      </c>
      <c r="D147" s="426">
        <v>1.2</v>
      </c>
      <c r="F147" s="421" t="s">
        <v>213</v>
      </c>
      <c r="I147" s="430"/>
      <c r="W147" s="425" t="s">
        <v>579</v>
      </c>
      <c r="AC147" s="425" t="s">
        <v>409</v>
      </c>
      <c r="AD147" s="426">
        <v>4</v>
      </c>
      <c r="AE147" s="512">
        <v>0.8</v>
      </c>
      <c r="AG147" s="421" t="s">
        <v>163</v>
      </c>
      <c r="AN147" s="425" t="s">
        <v>473</v>
      </c>
      <c r="AP147" s="565">
        <v>0</v>
      </c>
      <c r="AR147" s="425" t="s">
        <v>467</v>
      </c>
      <c r="AT147" s="565">
        <v>0</v>
      </c>
      <c r="AW147" s="422" t="s">
        <v>574</v>
      </c>
      <c r="AX147" s="425">
        <v>0.28899999999999998</v>
      </c>
      <c r="AY147" s="425">
        <v>0.45100000000000001</v>
      </c>
      <c r="AZ147" s="425">
        <v>0.81899999999999995</v>
      </c>
      <c r="BA147" s="425">
        <v>1.339</v>
      </c>
      <c r="BC147" s="422" t="s">
        <v>574</v>
      </c>
      <c r="BD147" s="425">
        <v>665</v>
      </c>
      <c r="BE147" s="425">
        <v>100</v>
      </c>
      <c r="BF147" s="425">
        <f t="shared" si="4"/>
        <v>0.15038000000000001</v>
      </c>
    </row>
    <row r="148" spans="1:58" s="425" customFormat="1" x14ac:dyDescent="0.25">
      <c r="A148" s="1158"/>
      <c r="C148" s="422" t="s">
        <v>580</v>
      </c>
      <c r="D148" s="426">
        <v>1.5</v>
      </c>
      <c r="F148" s="422" t="s">
        <v>581</v>
      </c>
      <c r="I148" s="430"/>
      <c r="L148" s="512">
        <v>3</v>
      </c>
      <c r="M148" s="512">
        <v>4.05</v>
      </c>
      <c r="O148" s="421" t="s">
        <v>852</v>
      </c>
      <c r="W148" s="425" t="s">
        <v>582</v>
      </c>
      <c r="AC148" s="425" t="s">
        <v>282</v>
      </c>
      <c r="AD148" s="426">
        <v>3</v>
      </c>
      <c r="AE148" s="512">
        <v>0.75</v>
      </c>
      <c r="AG148" s="425" t="s">
        <v>476</v>
      </c>
      <c r="AI148" s="565">
        <v>0</v>
      </c>
      <c r="AN148" s="425" t="s">
        <v>583</v>
      </c>
      <c r="AP148" s="565">
        <v>0.2</v>
      </c>
      <c r="AR148" s="425" t="s">
        <v>584</v>
      </c>
      <c r="AT148" s="565">
        <v>0.25</v>
      </c>
      <c r="AW148" s="422" t="s">
        <v>578</v>
      </c>
      <c r="AX148" s="425">
        <v>0.60599999999999998</v>
      </c>
      <c r="AY148" s="425">
        <v>1.0569999999999999</v>
      </c>
      <c r="AZ148" s="425">
        <v>1.716</v>
      </c>
      <c r="BA148" s="425">
        <v>2.8050000000000002</v>
      </c>
      <c r="BC148" s="422" t="s">
        <v>578</v>
      </c>
      <c r="BD148" s="425">
        <v>500</v>
      </c>
      <c r="BE148" s="425">
        <v>75</v>
      </c>
      <c r="BF148" s="425">
        <f t="shared" si="4"/>
        <v>0.15</v>
      </c>
    </row>
    <row r="149" spans="1:58" s="425" customFormat="1" x14ac:dyDescent="0.25">
      <c r="A149" s="1158"/>
      <c r="F149" s="422" t="s">
        <v>585</v>
      </c>
      <c r="I149" s="430"/>
      <c r="L149" s="512">
        <v>3.45</v>
      </c>
      <c r="M149" s="512">
        <v>4.6500000000000004</v>
      </c>
      <c r="O149" s="425" t="s">
        <v>588</v>
      </c>
      <c r="Q149" s="425" t="s">
        <v>837</v>
      </c>
      <c r="T149" s="425" t="s">
        <v>626</v>
      </c>
      <c r="W149" s="425" t="s">
        <v>481</v>
      </c>
      <c r="AC149" s="425" t="s">
        <v>409</v>
      </c>
      <c r="AD149" s="426">
        <v>4</v>
      </c>
      <c r="AE149" s="512">
        <v>0.8</v>
      </c>
      <c r="AG149" s="425" t="s">
        <v>586</v>
      </c>
      <c r="AI149" s="565">
        <v>0.15</v>
      </c>
      <c r="AW149" s="422" t="s">
        <v>580</v>
      </c>
      <c r="AX149" s="425">
        <v>1.234</v>
      </c>
      <c r="AY149" s="425">
        <v>2.1520000000000001</v>
      </c>
      <c r="AZ149" s="425">
        <v>3.4940000000000002</v>
      </c>
      <c r="BA149" s="425">
        <v>5.7119999999999997</v>
      </c>
      <c r="BC149" s="422" t="s">
        <v>580</v>
      </c>
      <c r="BD149" s="425">
        <v>335</v>
      </c>
      <c r="BE149" s="425">
        <v>50</v>
      </c>
      <c r="BF149" s="425">
        <f t="shared" si="4"/>
        <v>0.14924999999999999</v>
      </c>
    </row>
    <row r="150" spans="1:58" s="425" customFormat="1" x14ac:dyDescent="0.25">
      <c r="A150" s="1158"/>
      <c r="F150" s="422" t="s">
        <v>587</v>
      </c>
      <c r="I150" s="430"/>
      <c r="L150" s="512">
        <v>3.84</v>
      </c>
      <c r="M150" s="512">
        <v>5.19</v>
      </c>
      <c r="O150" s="425" t="s">
        <v>486</v>
      </c>
      <c r="Q150" s="425" t="s">
        <v>838</v>
      </c>
      <c r="T150" s="425" t="s">
        <v>627</v>
      </c>
      <c r="W150" s="425" t="s">
        <v>589</v>
      </c>
      <c r="AC150" s="425" t="s">
        <v>291</v>
      </c>
      <c r="AD150" s="426">
        <v>4</v>
      </c>
      <c r="AE150" s="512">
        <v>0.8</v>
      </c>
      <c r="AN150" s="421" t="s">
        <v>590</v>
      </c>
    </row>
    <row r="151" spans="1:58" s="425" customFormat="1" x14ac:dyDescent="0.25">
      <c r="A151" s="1158"/>
      <c r="F151" s="422" t="s">
        <v>497</v>
      </c>
      <c r="I151" s="430"/>
      <c r="L151" s="512">
        <v>4.8600000000000003</v>
      </c>
      <c r="M151" s="512">
        <v>6.57</v>
      </c>
      <c r="O151" s="425" t="s">
        <v>702</v>
      </c>
      <c r="Q151" s="425" t="s">
        <v>839</v>
      </c>
      <c r="T151" s="425" t="s">
        <v>708</v>
      </c>
      <c r="W151" s="425" t="s">
        <v>591</v>
      </c>
      <c r="AC151" s="425" t="s">
        <v>409</v>
      </c>
      <c r="AD151" s="426">
        <v>4</v>
      </c>
      <c r="AE151" s="512">
        <v>0.8</v>
      </c>
      <c r="AN151" s="425" t="s">
        <v>592</v>
      </c>
      <c r="AP151" s="565">
        <v>0</v>
      </c>
    </row>
    <row r="152" spans="1:58" s="425" customFormat="1" x14ac:dyDescent="0.25">
      <c r="A152" s="1158"/>
      <c r="F152" s="422" t="s">
        <v>593</v>
      </c>
      <c r="I152" s="430"/>
      <c r="L152" s="512">
        <v>0</v>
      </c>
      <c r="M152" s="512">
        <v>0</v>
      </c>
      <c r="W152" s="425" t="s">
        <v>594</v>
      </c>
      <c r="AC152" s="425" t="s">
        <v>291</v>
      </c>
      <c r="AD152" s="426">
        <v>4</v>
      </c>
      <c r="AE152" s="512">
        <v>0.8</v>
      </c>
      <c r="AN152" s="425" t="s">
        <v>595</v>
      </c>
      <c r="AP152" s="565">
        <v>0.1</v>
      </c>
    </row>
    <row r="153" spans="1:58" s="425" customFormat="1" x14ac:dyDescent="0.25">
      <c r="A153" s="1158"/>
      <c r="I153" s="430"/>
      <c r="O153" s="425" t="s">
        <v>533</v>
      </c>
      <c r="W153" s="425" t="s">
        <v>596</v>
      </c>
      <c r="AC153" s="425" t="s">
        <v>291</v>
      </c>
      <c r="AD153" s="426">
        <v>4</v>
      </c>
      <c r="AE153" s="512">
        <v>0.8</v>
      </c>
      <c r="AN153" s="425" t="s">
        <v>471</v>
      </c>
      <c r="AP153" s="565">
        <v>0.25</v>
      </c>
    </row>
    <row r="154" spans="1:58" s="5" customFormat="1" ht="15.75" thickBot="1" x14ac:dyDescent="0.3">
      <c r="A154" s="1159"/>
      <c r="I154" s="8"/>
    </row>
    <row r="155" spans="1:58" s="6" customFormat="1" ht="15.75" thickTop="1" x14ac:dyDescent="0.25">
      <c r="A155" s="1157" t="s">
        <v>759</v>
      </c>
      <c r="I155" s="9"/>
    </row>
    <row r="156" spans="1:58" x14ac:dyDescent="0.25">
      <c r="A156" s="1158"/>
      <c r="C156" s="1148" t="s">
        <v>276</v>
      </c>
      <c r="D156" s="1149" t="s">
        <v>270</v>
      </c>
      <c r="E156" s="323" t="s">
        <v>274</v>
      </c>
      <c r="F156" s="323" t="s">
        <v>275</v>
      </c>
      <c r="G156" s="1169" t="s">
        <v>273</v>
      </c>
    </row>
    <row r="157" spans="1:58" x14ac:dyDescent="0.25">
      <c r="A157" s="1158"/>
      <c r="C157" s="1150"/>
      <c r="D157" s="1151"/>
      <c r="E157" s="324" t="s">
        <v>271</v>
      </c>
      <c r="F157" s="324" t="s">
        <v>272</v>
      </c>
      <c r="G157" s="1170"/>
    </row>
    <row r="158" spans="1:58" x14ac:dyDescent="0.25">
      <c r="A158" s="1158"/>
      <c r="C158" s="105">
        <v>1</v>
      </c>
      <c r="D158" s="35" t="s">
        <v>257</v>
      </c>
      <c r="E158" s="205">
        <v>0.3</v>
      </c>
      <c r="F158" s="205">
        <v>0.59</v>
      </c>
      <c r="G158" s="288">
        <f>SUM(E158:F158)</f>
        <v>0.8899999999999999</v>
      </c>
      <c r="I158" s="1148" t="s">
        <v>277</v>
      </c>
      <c r="J158" s="1149"/>
      <c r="K158" s="1152" t="s">
        <v>163</v>
      </c>
      <c r="L158" s="1152"/>
      <c r="M158" s="1153"/>
    </row>
    <row r="159" spans="1:58" x14ac:dyDescent="0.25">
      <c r="A159" s="1158"/>
      <c r="C159" s="105">
        <v>2</v>
      </c>
      <c r="D159" s="35" t="s">
        <v>258</v>
      </c>
      <c r="E159" s="205">
        <v>0.3</v>
      </c>
      <c r="F159" s="205">
        <v>0.31</v>
      </c>
      <c r="G159" s="288">
        <f t="shared" ref="G159:G170" si="5">SUM(E159:F159)</f>
        <v>0.61</v>
      </c>
      <c r="I159" s="1150"/>
      <c r="J159" s="1151"/>
      <c r="K159" s="108" t="s">
        <v>206</v>
      </c>
      <c r="L159" s="108" t="s">
        <v>207</v>
      </c>
      <c r="M159" s="109" t="s">
        <v>208</v>
      </c>
    </row>
    <row r="160" spans="1:58" x14ac:dyDescent="0.25">
      <c r="A160" s="1158"/>
      <c r="C160" s="105">
        <v>3</v>
      </c>
      <c r="D160" s="35" t="s">
        <v>259</v>
      </c>
      <c r="E160" s="205">
        <v>0.12</v>
      </c>
      <c r="F160" s="205">
        <v>0.18</v>
      </c>
      <c r="G160" s="288">
        <f t="shared" si="5"/>
        <v>0.3</v>
      </c>
      <c r="I160" s="326" t="s">
        <v>278</v>
      </c>
      <c r="J160" s="35" t="s">
        <v>279</v>
      </c>
      <c r="K160" s="205">
        <v>1</v>
      </c>
      <c r="L160" s="205">
        <v>1.1000000000000001</v>
      </c>
      <c r="M160" s="288">
        <v>1.45</v>
      </c>
    </row>
    <row r="161" spans="1:13" x14ac:dyDescent="0.25">
      <c r="A161" s="1158"/>
      <c r="C161" s="105">
        <v>4</v>
      </c>
      <c r="D161" s="35" t="s">
        <v>260</v>
      </c>
      <c r="E161" s="205">
        <v>0.54</v>
      </c>
      <c r="F161" s="205">
        <v>0.27</v>
      </c>
      <c r="G161" s="288">
        <f t="shared" si="5"/>
        <v>0.81</v>
      </c>
      <c r="I161" s="326" t="s">
        <v>280</v>
      </c>
      <c r="J161" s="35" t="s">
        <v>281</v>
      </c>
      <c r="K161" s="205">
        <v>1.1499999999999999</v>
      </c>
      <c r="L161" s="205">
        <v>1.25</v>
      </c>
      <c r="M161" s="288">
        <v>1.65</v>
      </c>
    </row>
    <row r="162" spans="1:13" x14ac:dyDescent="0.25">
      <c r="A162" s="1158"/>
      <c r="C162" s="105">
        <v>5</v>
      </c>
      <c r="D162" s="35" t="s">
        <v>261</v>
      </c>
      <c r="E162" s="205">
        <v>0.54</v>
      </c>
      <c r="F162" s="205">
        <v>0.17</v>
      </c>
      <c r="G162" s="288">
        <f t="shared" si="5"/>
        <v>0.71000000000000008</v>
      </c>
      <c r="I162" s="327" t="s">
        <v>282</v>
      </c>
      <c r="J162" s="108" t="s">
        <v>283</v>
      </c>
      <c r="K162" s="353">
        <v>1.75</v>
      </c>
      <c r="L162" s="353">
        <v>1.9</v>
      </c>
      <c r="M162" s="289">
        <v>2.5</v>
      </c>
    </row>
    <row r="163" spans="1:13" x14ac:dyDescent="0.25">
      <c r="A163" s="1158"/>
      <c r="C163" s="105">
        <v>6</v>
      </c>
      <c r="D163" s="35" t="s">
        <v>262</v>
      </c>
      <c r="E163" s="205">
        <v>0.12</v>
      </c>
      <c r="F163" s="205">
        <v>0.05</v>
      </c>
      <c r="G163" s="288">
        <f t="shared" si="5"/>
        <v>0.16999999999999998</v>
      </c>
    </row>
    <row r="164" spans="1:13" x14ac:dyDescent="0.25">
      <c r="A164" s="1158"/>
      <c r="C164" s="105">
        <v>7</v>
      </c>
      <c r="D164" s="35" t="s">
        <v>263</v>
      </c>
      <c r="E164" s="205">
        <v>0.18</v>
      </c>
      <c r="F164" s="205">
        <v>0.02</v>
      </c>
      <c r="G164" s="288">
        <f t="shared" si="5"/>
        <v>0.19999999999999998</v>
      </c>
    </row>
    <row r="165" spans="1:13" x14ac:dyDescent="0.25">
      <c r="A165" s="1158"/>
      <c r="C165" s="105">
        <v>8</v>
      </c>
      <c r="D165" s="35" t="s">
        <v>264</v>
      </c>
      <c r="E165" s="205">
        <v>0.03</v>
      </c>
      <c r="F165" s="205">
        <v>7.0000000000000007E-2</v>
      </c>
      <c r="G165" s="288">
        <f t="shared" si="5"/>
        <v>0.1</v>
      </c>
    </row>
    <row r="166" spans="1:13" x14ac:dyDescent="0.25">
      <c r="A166" s="1158"/>
      <c r="C166" s="105">
        <v>9</v>
      </c>
      <c r="D166" s="35" t="s">
        <v>265</v>
      </c>
      <c r="E166" s="205">
        <v>0.03</v>
      </c>
      <c r="F166" s="205">
        <v>0.04</v>
      </c>
      <c r="G166" s="288">
        <f t="shared" si="5"/>
        <v>7.0000000000000007E-2</v>
      </c>
      <c r="I166" s="325" t="s">
        <v>286</v>
      </c>
      <c r="J166" s="104"/>
    </row>
    <row r="167" spans="1:13" x14ac:dyDescent="0.25">
      <c r="A167" s="1158"/>
      <c r="C167" s="105">
        <v>10</v>
      </c>
      <c r="D167" s="35" t="s">
        <v>266</v>
      </c>
      <c r="E167" s="205">
        <v>0.03</v>
      </c>
      <c r="F167" s="205">
        <v>0.1</v>
      </c>
      <c r="G167" s="288">
        <f t="shared" si="5"/>
        <v>0.13</v>
      </c>
      <c r="I167" s="329" t="s">
        <v>206</v>
      </c>
      <c r="J167" s="106">
        <v>3</v>
      </c>
    </row>
    <row r="168" spans="1:13" x14ac:dyDescent="0.25">
      <c r="A168" s="1158"/>
      <c r="C168" s="105">
        <v>11</v>
      </c>
      <c r="D168" s="35" t="s">
        <v>267</v>
      </c>
      <c r="E168" s="205">
        <v>0.05</v>
      </c>
      <c r="F168" s="205">
        <v>0.1</v>
      </c>
      <c r="G168" s="288">
        <f t="shared" si="5"/>
        <v>0.15000000000000002</v>
      </c>
      <c r="I168" s="329" t="s">
        <v>207</v>
      </c>
      <c r="J168" s="106">
        <v>4</v>
      </c>
    </row>
    <row r="169" spans="1:13" x14ac:dyDescent="0.25">
      <c r="A169" s="1158"/>
      <c r="C169" s="105">
        <v>12</v>
      </c>
      <c r="D169" s="35" t="s">
        <v>268</v>
      </c>
      <c r="E169" s="205">
        <v>0.3</v>
      </c>
      <c r="F169" s="205">
        <v>0.24</v>
      </c>
      <c r="G169" s="288">
        <f t="shared" si="5"/>
        <v>0.54</v>
      </c>
      <c r="I169" s="330" t="s">
        <v>208</v>
      </c>
      <c r="J169" s="109">
        <v>5</v>
      </c>
    </row>
    <row r="170" spans="1:13" x14ac:dyDescent="0.25">
      <c r="A170" s="1158"/>
      <c r="C170" s="107">
        <v>13</v>
      </c>
      <c r="D170" s="108" t="s">
        <v>269</v>
      </c>
      <c r="E170" s="353">
        <v>0.68</v>
      </c>
      <c r="F170" s="353">
        <v>0.18</v>
      </c>
      <c r="G170" s="289">
        <f t="shared" si="5"/>
        <v>0.8600000000000001</v>
      </c>
    </row>
    <row r="171" spans="1:13" x14ac:dyDescent="0.25">
      <c r="A171" s="1158"/>
    </row>
    <row r="172" spans="1:13" x14ac:dyDescent="0.25">
      <c r="A172" s="1158"/>
    </row>
    <row r="173" spans="1:13" x14ac:dyDescent="0.25">
      <c r="A173" s="1158"/>
    </row>
    <row r="174" spans="1:13" s="890" customFormat="1" ht="15.75" thickBot="1" x14ac:dyDescent="0.3">
      <c r="A174" s="1159"/>
      <c r="I174" s="891"/>
    </row>
    <row r="175" spans="1:13" s="892" customFormat="1" x14ac:dyDescent="0.25">
      <c r="A175" s="894"/>
      <c r="I175" s="893"/>
    </row>
    <row r="176" spans="1:13" s="884" customFormat="1" x14ac:dyDescent="0.25">
      <c r="A176" s="895"/>
      <c r="C176" s="884" t="s">
        <v>851</v>
      </c>
      <c r="F176" s="885"/>
      <c r="I176" s="885"/>
    </row>
    <row r="177" spans="1:9" s="884" customFormat="1" x14ac:dyDescent="0.25">
      <c r="A177" s="895"/>
      <c r="C177" s="897">
        <v>41078</v>
      </c>
      <c r="E177" s="884" t="s">
        <v>850</v>
      </c>
      <c r="F177" s="885"/>
      <c r="I177" s="885"/>
    </row>
    <row r="178" spans="1:9" s="884" customFormat="1" x14ac:dyDescent="0.25">
      <c r="A178" s="895"/>
      <c r="C178" s="897">
        <v>41456</v>
      </c>
      <c r="E178" s="884" t="s">
        <v>854</v>
      </c>
      <c r="F178" s="885"/>
      <c r="G178" s="884" t="s">
        <v>855</v>
      </c>
      <c r="I178" s="885"/>
    </row>
    <row r="179" spans="1:9" s="884" customFormat="1" x14ac:dyDescent="0.25">
      <c r="A179" s="895"/>
      <c r="C179" s="897">
        <v>41779</v>
      </c>
      <c r="E179" s="884" t="s">
        <v>957</v>
      </c>
      <c r="F179" s="885"/>
      <c r="G179" s="884" t="s">
        <v>958</v>
      </c>
      <c r="I179" s="885"/>
    </row>
    <row r="180" spans="1:9" s="884" customFormat="1" x14ac:dyDescent="0.25">
      <c r="A180" s="895"/>
      <c r="C180" s="897">
        <v>42019</v>
      </c>
      <c r="F180" s="885"/>
      <c r="G180" s="884" t="s">
        <v>965</v>
      </c>
      <c r="I180" s="885"/>
    </row>
    <row r="181" spans="1:9" s="886" customFormat="1" ht="15.75" thickBot="1" x14ac:dyDescent="0.3">
      <c r="A181" s="896"/>
      <c r="I181" s="887"/>
    </row>
    <row r="182" spans="1:9" s="888" customFormat="1" x14ac:dyDescent="0.25">
      <c r="I182" s="889"/>
    </row>
    <row r="207" spans="3:10" x14ac:dyDescent="0.25">
      <c r="C207" s="1"/>
      <c r="I207"/>
      <c r="J207" s="7"/>
    </row>
  </sheetData>
  <mergeCells count="37">
    <mergeCell ref="A1:A19"/>
    <mergeCell ref="A20:A34"/>
    <mergeCell ref="J22:N22"/>
    <mergeCell ref="A35:A49"/>
    <mergeCell ref="A65:A79"/>
    <mergeCell ref="A50:A64"/>
    <mergeCell ref="A155:A174"/>
    <mergeCell ref="A95:A109"/>
    <mergeCell ref="A80:A94"/>
    <mergeCell ref="C156:C157"/>
    <mergeCell ref="D156:D157"/>
    <mergeCell ref="AK68:AL68"/>
    <mergeCell ref="G156:G157"/>
    <mergeCell ref="AK69:AL69"/>
    <mergeCell ref="AK70:AL70"/>
    <mergeCell ref="AK71:AL71"/>
    <mergeCell ref="AK72:AL72"/>
    <mergeCell ref="AI69:AJ69"/>
    <mergeCell ref="AI70:AJ70"/>
    <mergeCell ref="AI71:AJ71"/>
    <mergeCell ref="AI72:AJ72"/>
    <mergeCell ref="Q22:T22"/>
    <mergeCell ref="I158:J159"/>
    <mergeCell ref="K158:M158"/>
    <mergeCell ref="AV65:AV79"/>
    <mergeCell ref="A110:A124"/>
    <mergeCell ref="A125:A139"/>
    <mergeCell ref="A140:A154"/>
    <mergeCell ref="AP65:AP79"/>
    <mergeCell ref="R68:V68"/>
    <mergeCell ref="W68:AA68"/>
    <mergeCell ref="AB68:AE68"/>
    <mergeCell ref="B65:B79"/>
    <mergeCell ref="M68:P68"/>
    <mergeCell ref="H68:L68"/>
    <mergeCell ref="C68:G68"/>
    <mergeCell ref="AI68:AJ6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Normal="100" zoomScaleSheetLayoutView="100" workbookViewId="0">
      <selection activeCell="G4" sqref="G4"/>
    </sheetView>
  </sheetViews>
  <sheetFormatPr baseColWidth="10" defaultRowHeight="15" x14ac:dyDescent="0.25"/>
  <cols>
    <col min="1" max="1" width="4" style="611" customWidth="1"/>
    <col min="2" max="2" width="6.7109375" style="611" customWidth="1"/>
    <col min="3" max="8" width="12.7109375" style="611" customWidth="1"/>
    <col min="9" max="9" width="5.7109375" style="611" customWidth="1"/>
    <col min="10" max="10" width="8.7109375" style="803" customWidth="1"/>
    <col min="11" max="11" width="11.42578125" style="832"/>
    <col min="12" max="13" width="11.42578125" style="798"/>
    <col min="14" max="18" width="11.42578125" style="799"/>
    <col min="19" max="19" width="11.42578125" style="807"/>
    <col min="20" max="16384" width="11.42578125" style="611"/>
  </cols>
  <sheetData>
    <row r="1" spans="1:20" ht="17.25" customHeight="1" x14ac:dyDescent="0.25">
      <c r="A1" s="976" t="s">
        <v>35</v>
      </c>
      <c r="B1" s="767"/>
      <c r="C1" s="767"/>
      <c r="D1" s="767"/>
      <c r="E1" s="767"/>
      <c r="F1" s="767"/>
      <c r="G1" s="767"/>
      <c r="H1" s="767"/>
      <c r="I1" s="767"/>
      <c r="K1" s="798" t="s">
        <v>792</v>
      </c>
      <c r="N1" s="799">
        <f ca="1">CELL("ZEILE",B35)</f>
        <v>35</v>
      </c>
    </row>
    <row r="2" spans="1:20" ht="22.5" customHeight="1" x14ac:dyDescent="0.25">
      <c r="A2" s="976"/>
      <c r="B2" s="768"/>
      <c r="C2" s="769" t="s">
        <v>36</v>
      </c>
      <c r="D2" s="977" t="s">
        <v>90</v>
      </c>
      <c r="E2" s="978"/>
      <c r="F2" s="978"/>
      <c r="G2" s="978"/>
      <c r="H2" s="979"/>
      <c r="I2" s="767"/>
      <c r="K2" s="800" t="s">
        <v>793</v>
      </c>
      <c r="L2" s="801"/>
      <c r="M2" s="801"/>
      <c r="N2" s="800">
        <f ca="1">CELL("ZEILE",G76)</f>
        <v>76</v>
      </c>
      <c r="O2" s="800"/>
      <c r="P2" s="800"/>
    </row>
    <row r="3" spans="1:20" ht="18" customHeight="1" x14ac:dyDescent="0.25">
      <c r="A3" s="976"/>
      <c r="B3" s="768"/>
      <c r="C3" s="804"/>
      <c r="D3" s="805"/>
      <c r="E3" s="805"/>
      <c r="F3" s="805"/>
      <c r="G3" s="805"/>
      <c r="H3" s="806"/>
      <c r="I3" s="767"/>
      <c r="K3" s="800" t="s">
        <v>794</v>
      </c>
      <c r="L3" s="801"/>
      <c r="M3" s="801"/>
      <c r="N3" s="800">
        <f>F27</f>
        <v>0</v>
      </c>
      <c r="O3" s="800"/>
      <c r="P3" s="800"/>
    </row>
    <row r="4" spans="1:20" ht="17.25" customHeight="1" x14ac:dyDescent="0.35">
      <c r="A4" s="976"/>
      <c r="B4" s="911" t="s">
        <v>296</v>
      </c>
      <c r="C4" s="910" t="s">
        <v>880</v>
      </c>
      <c r="D4" s="809"/>
      <c r="E4" s="809"/>
      <c r="F4" s="809"/>
      <c r="G4" s="931"/>
      <c r="H4" s="809" t="s">
        <v>901</v>
      </c>
      <c r="I4" s="767"/>
      <c r="K4" s="924" t="s">
        <v>296</v>
      </c>
      <c r="L4" s="923">
        <f>IF(ISNUMBER(G4),G4,0)</f>
        <v>0</v>
      </c>
      <c r="M4" s="922"/>
      <c r="N4" s="832" t="s">
        <v>931</v>
      </c>
      <c r="O4" s="921">
        <f>IF(L&lt;&gt;0,(1+L/400+n_1/10+n_2/20)*K*(1+n_6/20),0)</f>
        <v>0</v>
      </c>
      <c r="P4" s="800"/>
      <c r="Q4" s="142" t="s">
        <v>932</v>
      </c>
    </row>
    <row r="5" spans="1:20" ht="17.25" customHeight="1" x14ac:dyDescent="0.35">
      <c r="A5" s="976"/>
      <c r="B5" s="911" t="s">
        <v>888</v>
      </c>
      <c r="C5" s="910" t="s">
        <v>881</v>
      </c>
      <c r="D5" s="809"/>
      <c r="E5" s="809"/>
      <c r="F5" s="809"/>
      <c r="G5" s="810"/>
      <c r="H5" s="809"/>
      <c r="I5" s="767"/>
      <c r="K5" s="924" t="s">
        <v>933</v>
      </c>
      <c r="L5" s="923">
        <f>IF(ISNUMBER(G5),G5,2)</f>
        <v>2</v>
      </c>
      <c r="M5" s="920"/>
      <c r="N5" s="832" t="s">
        <v>934</v>
      </c>
      <c r="O5" s="921">
        <f>IF(L&lt;&gt;0,(0.5+L/200+n_1/100)*K+n_2*(0.1+0.15*s_2),0)</f>
        <v>0</v>
      </c>
      <c r="Q5" s="142" t="s">
        <v>935</v>
      </c>
      <c r="S5" s="799"/>
      <c r="T5" s="909"/>
    </row>
    <row r="6" spans="1:20" ht="19.5" customHeight="1" x14ac:dyDescent="0.35">
      <c r="A6" s="976"/>
      <c r="B6" s="911" t="s">
        <v>889</v>
      </c>
      <c r="C6" s="910" t="s">
        <v>882</v>
      </c>
      <c r="D6" s="809"/>
      <c r="E6" s="809"/>
      <c r="F6" s="814"/>
      <c r="G6" s="810"/>
      <c r="H6" s="809"/>
      <c r="I6" s="815"/>
      <c r="J6" s="816"/>
      <c r="K6" s="924" t="s">
        <v>936</v>
      </c>
      <c r="L6" s="923">
        <f>IF(ISNUMBER(G6),G6,1)</f>
        <v>1</v>
      </c>
      <c r="N6" s="832" t="s">
        <v>937</v>
      </c>
      <c r="O6" s="921">
        <f>IF(L&lt;&gt;0,(0.5+L/400+n_1/12+n_2*(0.05+s_2/2))*K*E*(1+0.3*s_1),0)</f>
        <v>0</v>
      </c>
      <c r="Q6" s="142" t="s">
        <v>938</v>
      </c>
      <c r="S6" s="799"/>
      <c r="T6" s="909"/>
    </row>
    <row r="7" spans="1:20" s="821" customFormat="1" ht="20.100000000000001" customHeight="1" x14ac:dyDescent="0.35">
      <c r="A7" s="976"/>
      <c r="B7" s="911" t="s">
        <v>295</v>
      </c>
      <c r="C7" s="910" t="s">
        <v>920</v>
      </c>
      <c r="D7" s="809"/>
      <c r="E7" s="809"/>
      <c r="F7" s="809"/>
      <c r="G7" s="817" t="s">
        <v>209</v>
      </c>
      <c r="H7" s="809" t="str">
        <f>VLOOKUP(G7,Konstante!F3:H5,3,FALSE)</f>
        <v>mittlere Qualität</v>
      </c>
      <c r="I7" s="818"/>
      <c r="J7" s="819"/>
      <c r="K7" s="924" t="s">
        <v>295</v>
      </c>
      <c r="L7" s="923">
        <f>VLOOKUP(G7,Konstante!F3:G5,2,FALSE)</f>
        <v>1.2</v>
      </c>
      <c r="M7" s="919"/>
      <c r="N7" s="832" t="s">
        <v>939</v>
      </c>
      <c r="O7" s="921">
        <f>IF(L&lt;&gt;0,(L/200+n_1/20+n_2/20)*(s_1+s_3+s_4+s_5*s_6)+(2*s_7*SQRT(n_4)+IF(s_7=1,SQRT(n_4*n_5)/2,0)+SQRT(n_3)*s_5*(1+s_6/2))*(1+SQRT(F*V)/100),0)</f>
        <v>0</v>
      </c>
      <c r="P7" s="820"/>
      <c r="Q7" s="820" t="s">
        <v>964</v>
      </c>
      <c r="R7" s="799"/>
      <c r="S7" s="799"/>
      <c r="T7" s="764"/>
    </row>
    <row r="8" spans="1:20" s="821" customFormat="1" ht="20.100000000000001" customHeight="1" x14ac:dyDescent="0.35">
      <c r="A8" s="976"/>
      <c r="B8" s="911" t="s">
        <v>291</v>
      </c>
      <c r="C8" s="910" t="s">
        <v>902</v>
      </c>
      <c r="D8" s="809"/>
      <c r="E8" s="809"/>
      <c r="F8" s="809"/>
      <c r="G8" s="817" t="s">
        <v>20</v>
      </c>
      <c r="H8" s="809"/>
      <c r="I8" s="822"/>
      <c r="J8" s="819"/>
      <c r="K8" s="924" t="s">
        <v>291</v>
      </c>
      <c r="L8" s="923">
        <f>VLOOKUP(G8,Konstante!C3:D11,2,FALSE)</f>
        <v>1.6</v>
      </c>
      <c r="M8" s="919"/>
      <c r="N8" s="832" t="s">
        <v>940</v>
      </c>
      <c r="O8" s="921">
        <f>IF(L&lt;&gt;0,n_6+0.5*s_2,0)</f>
        <v>0</v>
      </c>
      <c r="P8" s="820"/>
      <c r="Q8" s="142" t="s">
        <v>941</v>
      </c>
      <c r="R8" s="799"/>
      <c r="S8" s="799"/>
      <c r="T8" s="764"/>
    </row>
    <row r="9" spans="1:20" s="821" customFormat="1" ht="20.100000000000001" customHeight="1" x14ac:dyDescent="0.35">
      <c r="A9" s="976"/>
      <c r="B9" s="911" t="s">
        <v>890</v>
      </c>
      <c r="C9" s="910" t="s">
        <v>903</v>
      </c>
      <c r="D9" s="809"/>
      <c r="E9" s="809"/>
      <c r="F9" s="809"/>
      <c r="G9" s="817" t="s">
        <v>152</v>
      </c>
      <c r="H9" s="809"/>
      <c r="I9" s="822"/>
      <c r="J9" s="819"/>
      <c r="K9" s="924" t="s">
        <v>942</v>
      </c>
      <c r="L9" s="923">
        <f>VLOOKUP(G9,Konstante!J$3:K$4,2,FALSE)</f>
        <v>1</v>
      </c>
      <c r="M9" s="919"/>
      <c r="N9" s="832" t="s">
        <v>943</v>
      </c>
      <c r="O9" s="921">
        <f>IF(L&lt;&gt;0,(0.5+n_4/2)*s_7*(1+F/1000)*E,0)</f>
        <v>0</v>
      </c>
      <c r="P9" s="820"/>
      <c r="Q9" s="142" t="s">
        <v>944</v>
      </c>
      <c r="R9" s="799"/>
      <c r="S9" s="799"/>
      <c r="T9" s="764"/>
    </row>
    <row r="10" spans="1:20" s="821" customFormat="1" ht="20.100000000000001" customHeight="1" x14ac:dyDescent="0.25">
      <c r="A10" s="976"/>
      <c r="B10" s="911" t="s">
        <v>891</v>
      </c>
      <c r="C10" s="910" t="s">
        <v>904</v>
      </c>
      <c r="D10" s="809"/>
      <c r="E10" s="809"/>
      <c r="F10" s="809"/>
      <c r="G10" s="817" t="s">
        <v>153</v>
      </c>
      <c r="H10" s="809"/>
      <c r="I10" s="822"/>
      <c r="J10" s="819"/>
      <c r="K10" s="924" t="s">
        <v>945</v>
      </c>
      <c r="L10" s="923">
        <f>VLOOKUP(G10,Konstante!J$3:K$4,2,FALSE)</f>
        <v>0</v>
      </c>
      <c r="M10" s="919"/>
      <c r="N10" s="918"/>
      <c r="O10" s="917">
        <f>SUM(O4:O9)</f>
        <v>0</v>
      </c>
      <c r="P10" s="820"/>
      <c r="Q10" s="820"/>
      <c r="R10" s="799"/>
      <c r="S10" s="799"/>
      <c r="T10" s="764"/>
    </row>
    <row r="11" spans="1:20" s="821" customFormat="1" ht="20.100000000000001" customHeight="1" x14ac:dyDescent="0.25">
      <c r="A11" s="976"/>
      <c r="B11" s="911" t="s">
        <v>892</v>
      </c>
      <c r="C11" s="910" t="s">
        <v>905</v>
      </c>
      <c r="D11" s="809"/>
      <c r="E11" s="809"/>
      <c r="F11" s="809"/>
      <c r="G11" s="817" t="s">
        <v>153</v>
      </c>
      <c r="H11" s="809"/>
      <c r="I11" s="822"/>
      <c r="J11" s="819"/>
      <c r="K11" s="924" t="s">
        <v>946</v>
      </c>
      <c r="L11" s="923">
        <f>VLOOKUP(G11,Konstante!J$3:K$4,2,FALSE)</f>
        <v>0</v>
      </c>
      <c r="M11" s="919"/>
      <c r="N11" s="918"/>
      <c r="O11" s="820"/>
      <c r="P11" s="820"/>
      <c r="Q11" s="820"/>
      <c r="R11" s="799"/>
      <c r="S11" s="799"/>
      <c r="T11" s="764"/>
    </row>
    <row r="12" spans="1:20" s="821" customFormat="1" ht="20.100000000000001" customHeight="1" x14ac:dyDescent="0.25">
      <c r="A12" s="976"/>
      <c r="B12" s="911" t="s">
        <v>893</v>
      </c>
      <c r="C12" s="910" t="s">
        <v>906</v>
      </c>
      <c r="D12" s="809"/>
      <c r="E12" s="809"/>
      <c r="F12" s="809"/>
      <c r="G12" s="817" t="s">
        <v>153</v>
      </c>
      <c r="H12" s="809"/>
      <c r="I12" s="822"/>
      <c r="J12" s="819"/>
      <c r="K12" s="924" t="s">
        <v>947</v>
      </c>
      <c r="L12" s="923">
        <f>VLOOKUP(G12,Konstante!M3:N6,2,FALSE)</f>
        <v>0</v>
      </c>
      <c r="M12" s="919"/>
      <c r="N12" s="918"/>
      <c r="O12" s="820"/>
      <c r="P12" s="820"/>
      <c r="Q12" s="820"/>
      <c r="R12" s="799"/>
      <c r="S12" s="799"/>
      <c r="T12" s="764"/>
    </row>
    <row r="13" spans="1:20" s="821" customFormat="1" ht="20.100000000000001" customHeight="1" x14ac:dyDescent="0.25">
      <c r="A13" s="976"/>
      <c r="B13" s="911" t="s">
        <v>894</v>
      </c>
      <c r="C13" s="910" t="s">
        <v>907</v>
      </c>
      <c r="D13" s="809"/>
      <c r="E13" s="809"/>
      <c r="F13" s="809"/>
      <c r="G13" s="817" t="s">
        <v>153</v>
      </c>
      <c r="H13" s="809"/>
      <c r="I13" s="822"/>
      <c r="J13" s="819"/>
      <c r="K13" s="924" t="s">
        <v>948</v>
      </c>
      <c r="L13" s="923">
        <f>VLOOKUP(G13,Konstante!J$3:K$4,2,FALSE)</f>
        <v>0</v>
      </c>
      <c r="M13" s="919"/>
      <c r="N13" s="918"/>
      <c r="O13" s="820"/>
      <c r="P13" s="820"/>
      <c r="Q13" s="943"/>
      <c r="R13" s="799"/>
      <c r="S13" s="799"/>
      <c r="T13" s="764"/>
    </row>
    <row r="14" spans="1:20" s="821" customFormat="1" ht="20.100000000000001" customHeight="1" x14ac:dyDescent="0.25">
      <c r="A14" s="976"/>
      <c r="B14" s="911" t="s">
        <v>895</v>
      </c>
      <c r="C14" s="910" t="s">
        <v>883</v>
      </c>
      <c r="D14" s="809"/>
      <c r="E14" s="809"/>
      <c r="F14" s="809"/>
      <c r="G14" s="817"/>
      <c r="H14" s="809"/>
      <c r="I14" s="822"/>
      <c r="J14" s="819"/>
      <c r="K14" s="924" t="s">
        <v>949</v>
      </c>
      <c r="L14" s="923">
        <f>IF(ISNUMBER(G14),G14,2)</f>
        <v>2</v>
      </c>
      <c r="M14" s="919"/>
      <c r="N14" s="918"/>
      <c r="O14" s="820"/>
      <c r="P14" s="820"/>
      <c r="Q14" s="820"/>
      <c r="R14" s="799"/>
      <c r="S14" s="799"/>
      <c r="T14" s="764"/>
    </row>
    <row r="15" spans="1:20" s="821" customFormat="1" ht="20.100000000000001" customHeight="1" x14ac:dyDescent="0.25">
      <c r="A15" s="976"/>
      <c r="B15" s="911" t="s">
        <v>896</v>
      </c>
      <c r="C15" s="910" t="s">
        <v>908</v>
      </c>
      <c r="D15" s="814"/>
      <c r="E15" s="814"/>
      <c r="F15" s="809"/>
      <c r="G15" s="817" t="s">
        <v>152</v>
      </c>
      <c r="H15" s="809"/>
      <c r="I15" s="822"/>
      <c r="J15" s="819"/>
      <c r="K15" s="924" t="s">
        <v>950</v>
      </c>
      <c r="L15" s="923">
        <f>VLOOKUP(G15,Konstante!J$6:K$7,2,FALSE)</f>
        <v>1</v>
      </c>
      <c r="M15" s="919"/>
      <c r="N15" s="918"/>
      <c r="O15" s="820"/>
      <c r="P15" s="820"/>
      <c r="Q15" s="820"/>
      <c r="R15" s="799"/>
      <c r="S15" s="799"/>
      <c r="T15" s="764"/>
    </row>
    <row r="16" spans="1:20" s="821" customFormat="1" ht="20.100000000000001" customHeight="1" x14ac:dyDescent="0.25">
      <c r="A16" s="976"/>
      <c r="B16" s="911" t="s">
        <v>897</v>
      </c>
      <c r="C16" s="910" t="s">
        <v>909</v>
      </c>
      <c r="D16" s="809"/>
      <c r="E16" s="809"/>
      <c r="F16" s="809"/>
      <c r="G16" s="817" t="s">
        <v>153</v>
      </c>
      <c r="H16" s="809"/>
      <c r="I16" s="822"/>
      <c r="J16" s="819"/>
      <c r="K16" s="924" t="s">
        <v>951</v>
      </c>
      <c r="L16" s="923">
        <f>VLOOKUP(G16,Konstante!J$3:K$4,2,FALSE)</f>
        <v>0</v>
      </c>
      <c r="M16" s="919"/>
      <c r="N16" s="918"/>
      <c r="O16" s="944"/>
      <c r="P16" s="820"/>
      <c r="Q16" s="820"/>
      <c r="R16" s="799"/>
      <c r="S16" s="799"/>
      <c r="T16" s="764"/>
    </row>
    <row r="17" spans="1:20" s="821" customFormat="1" ht="20.100000000000001" customHeight="1" x14ac:dyDescent="0.25">
      <c r="A17" s="976"/>
      <c r="B17" s="911" t="s">
        <v>898</v>
      </c>
      <c r="C17" s="910" t="s">
        <v>884</v>
      </c>
      <c r="D17" s="809"/>
      <c r="E17" s="809"/>
      <c r="F17" s="809"/>
      <c r="G17" s="810"/>
      <c r="H17" s="809"/>
      <c r="I17" s="822"/>
      <c r="J17" s="819"/>
      <c r="K17" s="924" t="s">
        <v>952</v>
      </c>
      <c r="L17" s="923">
        <f>IF(ISNUMBER(G17),G17,1)</f>
        <v>1</v>
      </c>
      <c r="M17" s="919"/>
      <c r="N17" s="918"/>
      <c r="O17" s="820"/>
      <c r="P17" s="820"/>
      <c r="Q17" s="820"/>
      <c r="R17" s="799"/>
      <c r="S17" s="799"/>
      <c r="T17" s="764"/>
    </row>
    <row r="18" spans="1:20" s="821" customFormat="1" ht="20.100000000000001" customHeight="1" x14ac:dyDescent="0.25">
      <c r="A18" s="976"/>
      <c r="B18" s="911" t="s">
        <v>293</v>
      </c>
      <c r="C18" s="910" t="s">
        <v>910</v>
      </c>
      <c r="D18" s="809"/>
      <c r="E18" s="809"/>
      <c r="F18" s="809"/>
      <c r="G18" s="931"/>
      <c r="H18" s="910" t="s">
        <v>911</v>
      </c>
      <c r="I18" s="822"/>
      <c r="J18" s="819"/>
      <c r="K18" s="924" t="s">
        <v>293</v>
      </c>
      <c r="L18" s="916">
        <f>IF(ISNUMBER(G18),G18,25)</f>
        <v>25</v>
      </c>
      <c r="M18" s="919"/>
      <c r="N18" s="918"/>
      <c r="O18" s="820"/>
      <c r="P18" s="820"/>
      <c r="Q18" s="820"/>
      <c r="R18" s="799"/>
      <c r="S18" s="799"/>
      <c r="T18" s="764"/>
    </row>
    <row r="19" spans="1:20" s="821" customFormat="1" ht="20.100000000000001" customHeight="1" x14ac:dyDescent="0.25">
      <c r="A19" s="976"/>
      <c r="B19" s="911" t="s">
        <v>885</v>
      </c>
      <c r="C19" s="910" t="s">
        <v>921</v>
      </c>
      <c r="D19" s="809"/>
      <c r="E19" s="809"/>
      <c r="F19" s="809"/>
      <c r="G19" s="931"/>
      <c r="H19" s="910" t="s">
        <v>912</v>
      </c>
      <c r="I19" s="822"/>
      <c r="J19" s="819"/>
      <c r="K19" s="924" t="s">
        <v>885</v>
      </c>
      <c r="L19" s="916">
        <f>IF(ISNUMBER(G19),G19,0)</f>
        <v>0</v>
      </c>
      <c r="M19" s="919"/>
      <c r="N19" s="918"/>
      <c r="O19" s="820"/>
      <c r="P19" s="820"/>
      <c r="Q19" s="820"/>
      <c r="R19" s="799"/>
      <c r="S19" s="799"/>
      <c r="T19" s="764"/>
    </row>
    <row r="20" spans="1:20" s="821" customFormat="1" ht="20.100000000000001" customHeight="1" x14ac:dyDescent="0.25">
      <c r="A20" s="976"/>
      <c r="B20" s="911" t="s">
        <v>899</v>
      </c>
      <c r="C20" s="910" t="s">
        <v>886</v>
      </c>
      <c r="D20" s="809"/>
      <c r="E20" s="809"/>
      <c r="F20" s="809"/>
      <c r="G20" s="810"/>
      <c r="H20" s="809"/>
      <c r="I20" s="822"/>
      <c r="J20" s="819"/>
      <c r="K20" s="924" t="s">
        <v>953</v>
      </c>
      <c r="L20" s="923">
        <f>IF(ISNUMBER(G20),G20,0)</f>
        <v>0</v>
      </c>
      <c r="M20" s="919"/>
      <c r="N20" s="918"/>
      <c r="O20" s="820"/>
      <c r="P20" s="820"/>
      <c r="Q20" s="820"/>
      <c r="R20" s="799"/>
      <c r="S20" s="799"/>
      <c r="T20" s="764"/>
    </row>
    <row r="21" spans="1:20" s="821" customFormat="1" ht="20.100000000000001" customHeight="1" x14ac:dyDescent="0.25">
      <c r="A21" s="976"/>
      <c r="B21" s="911" t="s">
        <v>900</v>
      </c>
      <c r="C21" s="910" t="s">
        <v>887</v>
      </c>
      <c r="D21" s="809"/>
      <c r="E21" s="809"/>
      <c r="F21" s="809"/>
      <c r="G21" s="810"/>
      <c r="H21" s="809"/>
      <c r="I21" s="822"/>
      <c r="J21" s="824"/>
      <c r="K21" s="924" t="s">
        <v>954</v>
      </c>
      <c r="L21" s="923">
        <f>IF(ISNUMBER(G21),G21,0)</f>
        <v>0</v>
      </c>
      <c r="M21" s="919"/>
      <c r="N21" s="918"/>
      <c r="O21" s="820"/>
      <c r="P21" s="820"/>
      <c r="Q21" s="820"/>
      <c r="R21" s="799"/>
      <c r="S21" s="799"/>
      <c r="T21" s="764"/>
    </row>
    <row r="22" spans="1:20" s="821" customFormat="1" ht="20.100000000000001" customHeight="1" x14ac:dyDescent="0.25">
      <c r="A22" s="976"/>
      <c r="B22" s="768"/>
      <c r="C22" s="808"/>
      <c r="D22" s="813"/>
      <c r="E22" s="809"/>
      <c r="F22" s="809"/>
      <c r="G22" s="809"/>
      <c r="H22" s="809"/>
      <c r="I22" s="822"/>
      <c r="J22" s="824"/>
      <c r="K22" s="799"/>
      <c r="L22" s="799"/>
      <c r="M22" s="919"/>
      <c r="N22" s="915"/>
      <c r="O22" s="820"/>
      <c r="P22" s="820"/>
      <c r="Q22" s="820"/>
      <c r="R22" s="799"/>
      <c r="S22" s="799"/>
      <c r="T22" s="764"/>
    </row>
    <row r="23" spans="1:20" s="821" customFormat="1" ht="20.100000000000001" customHeight="1" x14ac:dyDescent="0.25">
      <c r="A23" s="976"/>
      <c r="B23" s="767"/>
      <c r="C23" s="808"/>
      <c r="D23" s="825" t="s">
        <v>705</v>
      </c>
      <c r="E23" s="809"/>
      <c r="F23" s="809"/>
      <c r="G23" s="823"/>
      <c r="H23" s="809"/>
      <c r="I23" s="769"/>
      <c r="J23" s="824"/>
      <c r="K23" s="924" t="s">
        <v>922</v>
      </c>
      <c r="L23" s="914">
        <f>G23</f>
        <v>0</v>
      </c>
      <c r="M23" s="913"/>
      <c r="N23" s="915"/>
      <c r="O23" s="820"/>
      <c r="P23" s="820"/>
      <c r="Q23" s="820"/>
      <c r="R23" s="820"/>
      <c r="T23" s="764"/>
    </row>
    <row r="24" spans="1:20" s="821" customFormat="1" ht="20.100000000000001" customHeight="1" x14ac:dyDescent="0.25">
      <c r="A24" s="976"/>
      <c r="B24" s="768"/>
      <c r="C24" s="808"/>
      <c r="D24" s="825" t="s">
        <v>706</v>
      </c>
      <c r="E24" s="809"/>
      <c r="F24" s="809"/>
      <c r="G24" s="823"/>
      <c r="H24" s="809"/>
      <c r="I24" s="818"/>
      <c r="J24" s="824"/>
      <c r="K24" s="924" t="s">
        <v>923</v>
      </c>
      <c r="L24" s="914">
        <f>G24</f>
        <v>0</v>
      </c>
      <c r="M24" s="912"/>
      <c r="N24" s="915"/>
      <c r="O24" s="820"/>
      <c r="P24" s="820"/>
      <c r="Q24" s="820"/>
      <c r="R24" s="820"/>
      <c r="T24" s="764"/>
    </row>
    <row r="25" spans="1:20" s="821" customFormat="1" ht="20.100000000000001" customHeight="1" x14ac:dyDescent="0.25">
      <c r="A25" s="976"/>
      <c r="B25" s="768"/>
      <c r="C25" s="808"/>
      <c r="D25" s="825" t="s">
        <v>830</v>
      </c>
      <c r="E25" s="809"/>
      <c r="F25" s="809"/>
      <c r="G25" s="823"/>
      <c r="H25" s="809"/>
      <c r="I25" s="818"/>
      <c r="J25" s="824"/>
      <c r="K25" s="924" t="s">
        <v>924</v>
      </c>
      <c r="L25" s="914">
        <f>G25</f>
        <v>0</v>
      </c>
      <c r="M25" s="912"/>
      <c r="N25" s="915"/>
      <c r="O25" s="820"/>
      <c r="P25" s="820"/>
      <c r="Q25" s="820"/>
      <c r="R25" s="820"/>
      <c r="T25" s="764"/>
    </row>
    <row r="26" spans="1:20" s="821" customFormat="1" ht="20.100000000000001" customHeight="1" x14ac:dyDescent="0.25">
      <c r="A26" s="976"/>
      <c r="B26" s="768"/>
      <c r="C26" s="827"/>
      <c r="D26" s="828"/>
      <c r="E26" s="828"/>
      <c r="F26" s="828"/>
      <c r="G26" s="828"/>
      <c r="H26" s="829"/>
      <c r="I26" s="767"/>
      <c r="J26" s="824"/>
      <c r="K26" s="830"/>
      <c r="L26" s="826"/>
      <c r="M26" s="826"/>
      <c r="N26" s="857"/>
      <c r="O26" s="819"/>
      <c r="P26" s="820"/>
      <c r="Q26" s="820"/>
      <c r="T26" s="764"/>
    </row>
    <row r="27" spans="1:20" ht="19.5" customHeight="1" x14ac:dyDescent="0.35">
      <c r="A27" s="976"/>
      <c r="B27" s="767"/>
      <c r="C27" s="690" t="str">
        <f>IF(F27=0, "UNVOLLSTÄNDIG AUSGEFÜLLT!","")</f>
        <v>UNVOLLSTÄNDIG AUSGEFÜLLT!</v>
      </c>
      <c r="D27" s="767"/>
      <c r="E27" s="767"/>
      <c r="F27" s="689">
        <f>IF(OR(O4&lt;&gt;0,O5&lt;&gt;0,O6&lt;&gt;0,O7&lt;&gt;0,O8&lt;&gt;0,O9&lt;&gt;0),1,0)</f>
        <v>0</v>
      </c>
      <c r="G27" s="983" t="str">
        <f>IF(F27&lt;&gt;0, SUM(O4:O9)*IS+G23+G24,"")</f>
        <v/>
      </c>
      <c r="H27" s="983"/>
      <c r="I27" s="767"/>
      <c r="K27" s="831"/>
      <c r="L27" s="811"/>
      <c r="M27" s="831"/>
      <c r="N27" s="857"/>
      <c r="O27" s="812"/>
      <c r="R27" s="611"/>
      <c r="S27" s="611"/>
      <c r="T27" s="909"/>
    </row>
    <row r="28" spans="1:20" ht="19.5" customHeight="1" x14ac:dyDescent="0.25">
      <c r="A28" s="976"/>
      <c r="B28" s="767"/>
      <c r="C28" s="767"/>
      <c r="D28" s="767"/>
      <c r="E28" s="767"/>
      <c r="F28" s="767"/>
      <c r="G28" s="767"/>
      <c r="H28" s="767"/>
      <c r="I28" s="767"/>
      <c r="K28" s="831"/>
      <c r="L28" s="811"/>
      <c r="M28" s="811"/>
      <c r="N28" s="857"/>
      <c r="O28" s="812"/>
      <c r="R28" s="611"/>
      <c r="S28" s="611"/>
      <c r="T28" s="909"/>
    </row>
    <row r="29" spans="1:20" ht="15" customHeight="1" x14ac:dyDescent="0.25">
      <c r="A29" s="982" t="s">
        <v>72</v>
      </c>
      <c r="N29" s="857"/>
      <c r="R29" s="611"/>
      <c r="S29" s="611"/>
      <c r="T29" s="909"/>
    </row>
    <row r="30" spans="1:20" x14ac:dyDescent="0.25">
      <c r="A30" s="982"/>
      <c r="B30" s="984" t="str">
        <f>CONCATENATE(Gesamt!C2, ": ", Gesamt!E2)</f>
        <v xml:space="preserve">Projekt: </v>
      </c>
      <c r="C30" s="984"/>
      <c r="D30" s="984"/>
      <c r="E30" s="984"/>
      <c r="F30" s="984"/>
      <c r="G30" s="984"/>
      <c r="H30" s="984"/>
      <c r="I30" s="984"/>
      <c r="R30" s="611"/>
      <c r="S30" s="611"/>
      <c r="T30" s="909"/>
    </row>
    <row r="31" spans="1:20" x14ac:dyDescent="0.25">
      <c r="A31" s="982"/>
      <c r="B31" s="985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31" s="985"/>
      <c r="D31" s="985"/>
      <c r="E31" s="985"/>
      <c r="F31" s="985"/>
      <c r="G31" s="985"/>
      <c r="H31" s="985"/>
      <c r="I31" s="985"/>
      <c r="R31" s="611"/>
      <c r="S31" s="611"/>
      <c r="T31" s="909"/>
    </row>
    <row r="32" spans="1:20" x14ac:dyDescent="0.25">
      <c r="A32" s="982"/>
      <c r="B32" s="985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32" s="985"/>
      <c r="D32" s="985"/>
      <c r="E32" s="985"/>
      <c r="F32" s="985"/>
      <c r="G32" s="985"/>
      <c r="H32" s="985"/>
      <c r="I32" s="985"/>
    </row>
    <row r="33" spans="1:19" x14ac:dyDescent="0.25">
      <c r="A33" s="982"/>
      <c r="B33" s="985" t="s">
        <v>42</v>
      </c>
      <c r="C33" s="985"/>
      <c r="D33" s="985"/>
      <c r="E33" s="985"/>
      <c r="F33" s="985"/>
      <c r="G33" s="985"/>
      <c r="H33" s="985"/>
      <c r="I33" s="985"/>
    </row>
    <row r="34" spans="1:19" x14ac:dyDescent="0.25">
      <c r="A34" s="982"/>
    </row>
    <row r="35" spans="1:19" s="802" customFormat="1" ht="23.25" customHeight="1" x14ac:dyDescent="0.25">
      <c r="A35" s="982"/>
      <c r="B35" s="986" t="str">
        <f>D2</f>
        <v>KATASTERVERMESSUNG</v>
      </c>
      <c r="C35" s="987"/>
      <c r="D35" s="987"/>
      <c r="E35" s="987"/>
      <c r="F35" s="987"/>
      <c r="G35" s="987"/>
      <c r="H35" s="987"/>
      <c r="I35" s="987"/>
      <c r="J35" s="833"/>
      <c r="K35" s="834"/>
      <c r="L35" s="835"/>
      <c r="M35" s="835"/>
      <c r="N35" s="836"/>
      <c r="O35" s="836"/>
      <c r="P35" s="836"/>
      <c r="Q35" s="836"/>
      <c r="R35" s="905"/>
      <c r="S35" s="906"/>
    </row>
    <row r="36" spans="1:19" x14ac:dyDescent="0.25">
      <c r="A36" s="982"/>
      <c r="C36" s="753"/>
      <c r="D36" s="753"/>
      <c r="E36" s="753"/>
      <c r="F36" s="753"/>
      <c r="G36" s="753"/>
      <c r="H36" s="753"/>
    </row>
    <row r="37" spans="1:19" x14ac:dyDescent="0.25">
      <c r="A37" s="982"/>
      <c r="C37" s="753" t="s">
        <v>955</v>
      </c>
      <c r="D37" s="753"/>
      <c r="E37" s="753"/>
      <c r="F37" s="753"/>
      <c r="G37" s="753"/>
      <c r="H37" s="753"/>
    </row>
    <row r="38" spans="1:19" ht="30" customHeight="1" x14ac:dyDescent="0.25">
      <c r="A38" s="982"/>
      <c r="C38" s="981" t="s">
        <v>879</v>
      </c>
      <c r="D38" s="981"/>
      <c r="E38" s="981"/>
      <c r="F38" s="981"/>
      <c r="G38" s="981"/>
      <c r="H38" s="981"/>
    </row>
    <row r="39" spans="1:19" ht="10.5" customHeight="1" x14ac:dyDescent="0.25">
      <c r="A39" s="982"/>
      <c r="C39" s="753"/>
      <c r="D39" s="753"/>
      <c r="E39" s="754"/>
      <c r="F39" s="755"/>
      <c r="G39" s="753"/>
      <c r="H39" s="753"/>
    </row>
    <row r="40" spans="1:19" x14ac:dyDescent="0.25">
      <c r="A40" s="982"/>
      <c r="C40" s="753" t="s">
        <v>46</v>
      </c>
      <c r="D40" s="753"/>
      <c r="E40" s="754"/>
      <c r="F40" s="755">
        <f>Gesamt!$E$14</f>
        <v>79.08</v>
      </c>
      <c r="G40" s="753"/>
      <c r="H40" s="753"/>
    </row>
    <row r="41" spans="1:19" ht="10.5" customHeight="1" x14ac:dyDescent="0.25">
      <c r="A41" s="982"/>
      <c r="C41" s="753"/>
      <c r="D41" s="753"/>
      <c r="E41" s="753"/>
      <c r="F41" s="753"/>
      <c r="G41" s="753"/>
      <c r="H41" s="753"/>
    </row>
    <row r="42" spans="1:19" ht="15" customHeight="1" x14ac:dyDescent="0.25">
      <c r="A42" s="982"/>
      <c r="C42" s="930" t="s">
        <v>960</v>
      </c>
      <c r="D42" s="753"/>
      <c r="E42" s="753"/>
      <c r="F42" s="753"/>
      <c r="G42" s="753"/>
      <c r="H42" s="753"/>
    </row>
    <row r="43" spans="1:19" s="874" customFormat="1" ht="15" customHeight="1" x14ac:dyDescent="0.25">
      <c r="A43" s="982"/>
      <c r="D43" s="929" t="s">
        <v>925</v>
      </c>
      <c r="J43" s="928"/>
      <c r="K43" s="927"/>
      <c r="L43" s="926"/>
      <c r="M43" s="926"/>
      <c r="N43" s="925"/>
      <c r="O43" s="925"/>
      <c r="P43" s="925"/>
      <c r="Q43" s="925"/>
      <c r="R43" s="925"/>
    </row>
    <row r="44" spans="1:19" x14ac:dyDescent="0.25">
      <c r="A44" s="982"/>
      <c r="D44" s="929" t="s">
        <v>926</v>
      </c>
      <c r="E44" s="612"/>
      <c r="F44" s="612"/>
      <c r="G44" s="612"/>
      <c r="H44" s="612"/>
      <c r="I44" s="612"/>
    </row>
    <row r="45" spans="1:19" x14ac:dyDescent="0.25">
      <c r="A45" s="982"/>
      <c r="D45" s="929" t="s">
        <v>927</v>
      </c>
      <c r="E45" s="612"/>
      <c r="F45" s="612"/>
      <c r="G45" s="612"/>
      <c r="H45" s="612"/>
      <c r="I45" s="612"/>
    </row>
    <row r="46" spans="1:19" x14ac:dyDescent="0.25">
      <c r="A46" s="982"/>
      <c r="D46" s="929" t="s">
        <v>928</v>
      </c>
      <c r="E46" s="612"/>
      <c r="F46" s="612"/>
      <c r="G46" s="612"/>
      <c r="H46" s="612"/>
      <c r="I46" s="612"/>
    </row>
    <row r="47" spans="1:19" x14ac:dyDescent="0.25">
      <c r="A47" s="982"/>
      <c r="D47" s="929"/>
      <c r="E47" s="929" t="s">
        <v>963</v>
      </c>
      <c r="F47" s="612"/>
      <c r="G47" s="612"/>
      <c r="H47" s="612"/>
      <c r="I47" s="612"/>
    </row>
    <row r="48" spans="1:19" x14ac:dyDescent="0.25">
      <c r="A48" s="982"/>
      <c r="B48" s="618"/>
      <c r="C48" s="618"/>
      <c r="D48" s="949" t="s">
        <v>929</v>
      </c>
      <c r="E48" s="621"/>
      <c r="F48" s="621"/>
      <c r="G48" s="621"/>
      <c r="H48" s="621"/>
      <c r="I48" s="621"/>
    </row>
    <row r="49" spans="1:10" x14ac:dyDescent="0.25">
      <c r="A49" s="982"/>
      <c r="B49" s="618"/>
      <c r="C49" s="618"/>
      <c r="D49" s="949" t="s">
        <v>930</v>
      </c>
      <c r="E49" s="621"/>
      <c r="F49" s="621"/>
      <c r="G49" s="621"/>
      <c r="H49" s="621"/>
      <c r="I49" s="621"/>
    </row>
    <row r="50" spans="1:10" ht="10.5" customHeight="1" x14ac:dyDescent="0.25">
      <c r="A50" s="982"/>
      <c r="B50" s="618"/>
      <c r="C50" s="950"/>
      <c r="D50" s="950"/>
      <c r="E50" s="950"/>
      <c r="F50" s="950"/>
      <c r="G50" s="950"/>
      <c r="H50" s="950"/>
      <c r="I50" s="618"/>
    </row>
    <row r="51" spans="1:10" ht="15" customHeight="1" x14ac:dyDescent="0.25">
      <c r="A51" s="982"/>
      <c r="B51" s="618"/>
      <c r="C51" s="951" t="s">
        <v>296</v>
      </c>
      <c r="D51" s="952">
        <f t="shared" ref="D51:D68" si="0">G4</f>
        <v>0</v>
      </c>
      <c r="E51" s="951" t="s">
        <v>880</v>
      </c>
      <c r="F51" s="953"/>
      <c r="G51" s="950"/>
      <c r="H51" s="618"/>
      <c r="I51" s="618"/>
    </row>
    <row r="52" spans="1:10" ht="15" customHeight="1" x14ac:dyDescent="0.25">
      <c r="A52" s="982"/>
      <c r="B52" s="618"/>
      <c r="C52" s="951" t="s">
        <v>888</v>
      </c>
      <c r="D52" s="954">
        <f t="shared" si="0"/>
        <v>0</v>
      </c>
      <c r="E52" s="951" t="s">
        <v>881</v>
      </c>
      <c r="F52" s="955"/>
      <c r="G52" s="950"/>
      <c r="H52" s="618"/>
      <c r="I52" s="618"/>
    </row>
    <row r="53" spans="1:10" ht="15" customHeight="1" x14ac:dyDescent="0.25">
      <c r="A53" s="982"/>
      <c r="B53" s="757"/>
      <c r="C53" s="951" t="s">
        <v>889</v>
      </c>
      <c r="D53" s="954">
        <f t="shared" si="0"/>
        <v>0</v>
      </c>
      <c r="E53" s="951" t="s">
        <v>882</v>
      </c>
      <c r="F53" s="956"/>
      <c r="G53" s="950"/>
      <c r="H53" s="618"/>
      <c r="I53" s="757"/>
    </row>
    <row r="54" spans="1:10" ht="15" customHeight="1" x14ac:dyDescent="0.25">
      <c r="A54" s="982"/>
      <c r="B54" s="757"/>
      <c r="C54" s="951" t="s">
        <v>295</v>
      </c>
      <c r="D54" s="952" t="str">
        <f t="shared" si="0"/>
        <v>M</v>
      </c>
      <c r="E54" s="951" t="s">
        <v>920</v>
      </c>
      <c r="F54" s="950"/>
      <c r="G54" s="950"/>
      <c r="H54" s="618"/>
      <c r="I54" s="757"/>
    </row>
    <row r="55" spans="1:10" ht="15" customHeight="1" x14ac:dyDescent="0.25">
      <c r="A55" s="982"/>
      <c r="B55" s="618"/>
      <c r="C55" s="951" t="s">
        <v>291</v>
      </c>
      <c r="D55" s="952" t="str">
        <f t="shared" si="0"/>
        <v>Ib</v>
      </c>
      <c r="E55" s="951" t="s">
        <v>902</v>
      </c>
      <c r="F55" s="957"/>
      <c r="G55" s="950"/>
      <c r="H55" s="618"/>
      <c r="I55" s="618"/>
      <c r="J55" s="837"/>
    </row>
    <row r="56" spans="1:10" ht="15" customHeight="1" x14ac:dyDescent="0.25">
      <c r="A56" s="982"/>
      <c r="B56" s="618"/>
      <c r="C56" s="951" t="s">
        <v>890</v>
      </c>
      <c r="D56" s="952" t="str">
        <f t="shared" si="0"/>
        <v>ja</v>
      </c>
      <c r="E56" s="951" t="s">
        <v>903</v>
      </c>
      <c r="F56" s="957"/>
      <c r="G56" s="950"/>
      <c r="H56" s="618"/>
      <c r="I56" s="618"/>
      <c r="J56" s="837"/>
    </row>
    <row r="57" spans="1:10" ht="15" customHeight="1" x14ac:dyDescent="0.25">
      <c r="A57" s="982"/>
      <c r="B57" s="618"/>
      <c r="C57" s="951" t="s">
        <v>891</v>
      </c>
      <c r="D57" s="952" t="str">
        <f t="shared" si="0"/>
        <v>nein</v>
      </c>
      <c r="E57" s="951" t="s">
        <v>904</v>
      </c>
      <c r="F57" s="957"/>
      <c r="G57" s="950"/>
      <c r="H57" s="618"/>
      <c r="I57" s="618"/>
      <c r="J57" s="837"/>
    </row>
    <row r="58" spans="1:10" ht="15" customHeight="1" x14ac:dyDescent="0.25">
      <c r="A58" s="982"/>
      <c r="B58" s="618"/>
      <c r="C58" s="951" t="s">
        <v>892</v>
      </c>
      <c r="D58" s="952" t="str">
        <f t="shared" si="0"/>
        <v>nein</v>
      </c>
      <c r="E58" s="951" t="s">
        <v>905</v>
      </c>
      <c r="F58" s="957"/>
      <c r="G58" s="950"/>
      <c r="H58" s="618"/>
      <c r="I58" s="618"/>
      <c r="J58" s="837"/>
    </row>
    <row r="59" spans="1:10" ht="15" customHeight="1" x14ac:dyDescent="0.25">
      <c r="A59" s="982"/>
      <c r="B59" s="618"/>
      <c r="C59" s="951" t="s">
        <v>893</v>
      </c>
      <c r="D59" s="952" t="str">
        <f t="shared" si="0"/>
        <v>nein</v>
      </c>
      <c r="E59" s="951" t="s">
        <v>906</v>
      </c>
      <c r="F59" s="957"/>
      <c r="G59" s="950"/>
      <c r="H59" s="618"/>
      <c r="I59" s="618"/>
      <c r="J59" s="837"/>
    </row>
    <row r="60" spans="1:10" ht="15" customHeight="1" x14ac:dyDescent="0.25">
      <c r="A60" s="982"/>
      <c r="B60" s="618"/>
      <c r="C60" s="951" t="s">
        <v>894</v>
      </c>
      <c r="D60" s="952" t="str">
        <f t="shared" si="0"/>
        <v>nein</v>
      </c>
      <c r="E60" s="951" t="s">
        <v>907</v>
      </c>
      <c r="F60" s="957"/>
      <c r="G60" s="950"/>
      <c r="H60" s="618"/>
      <c r="I60" s="618"/>
      <c r="J60" s="837"/>
    </row>
    <row r="61" spans="1:10" ht="15" customHeight="1" x14ac:dyDescent="0.25">
      <c r="A61" s="982"/>
      <c r="B61" s="618"/>
      <c r="C61" s="951" t="s">
        <v>895</v>
      </c>
      <c r="D61" s="954">
        <f t="shared" si="0"/>
        <v>0</v>
      </c>
      <c r="E61" s="951" t="s">
        <v>883</v>
      </c>
      <c r="F61" s="957"/>
      <c r="G61" s="950"/>
      <c r="H61" s="618"/>
      <c r="I61" s="618"/>
      <c r="J61" s="837"/>
    </row>
    <row r="62" spans="1:10" ht="15" customHeight="1" x14ac:dyDescent="0.25">
      <c r="A62" s="982"/>
      <c r="B62" s="618"/>
      <c r="C62" s="951" t="s">
        <v>896</v>
      </c>
      <c r="D62" s="954" t="str">
        <f t="shared" si="0"/>
        <v>ja</v>
      </c>
      <c r="E62" s="951" t="s">
        <v>908</v>
      </c>
      <c r="F62" s="957"/>
      <c r="G62" s="950"/>
      <c r="H62" s="618"/>
      <c r="I62" s="618"/>
      <c r="J62" s="837"/>
    </row>
    <row r="63" spans="1:10" ht="15" customHeight="1" x14ac:dyDescent="0.25">
      <c r="A63" s="982"/>
      <c r="B63" s="618"/>
      <c r="C63" s="951" t="s">
        <v>897</v>
      </c>
      <c r="D63" s="952" t="str">
        <f t="shared" si="0"/>
        <v>nein</v>
      </c>
      <c r="E63" s="951" t="s">
        <v>909</v>
      </c>
      <c r="F63" s="957"/>
      <c r="G63" s="950"/>
      <c r="H63" s="618"/>
      <c r="I63" s="618"/>
      <c r="J63" s="837"/>
    </row>
    <row r="64" spans="1:10" ht="15" customHeight="1" x14ac:dyDescent="0.25">
      <c r="A64" s="982"/>
      <c r="B64" s="618"/>
      <c r="C64" s="951" t="s">
        <v>898</v>
      </c>
      <c r="D64" s="954">
        <f t="shared" si="0"/>
        <v>0</v>
      </c>
      <c r="E64" s="951" t="s">
        <v>884</v>
      </c>
      <c r="F64" s="957"/>
      <c r="G64" s="950"/>
      <c r="H64" s="618"/>
      <c r="I64" s="618"/>
      <c r="J64" s="837"/>
    </row>
    <row r="65" spans="1:19" ht="15" customHeight="1" x14ac:dyDescent="0.25">
      <c r="A65" s="982"/>
      <c r="B65" s="618"/>
      <c r="C65" s="951" t="s">
        <v>293</v>
      </c>
      <c r="D65" s="952">
        <f t="shared" si="0"/>
        <v>0</v>
      </c>
      <c r="E65" s="951" t="s">
        <v>962</v>
      </c>
      <c r="F65" s="957"/>
      <c r="G65" s="950"/>
      <c r="H65" s="618"/>
      <c r="I65" s="618"/>
      <c r="J65" s="837"/>
    </row>
    <row r="66" spans="1:19" ht="15" customHeight="1" x14ac:dyDescent="0.25">
      <c r="A66" s="982"/>
      <c r="B66" s="618"/>
      <c r="C66" s="951" t="s">
        <v>885</v>
      </c>
      <c r="D66" s="952">
        <f t="shared" si="0"/>
        <v>0</v>
      </c>
      <c r="E66" s="951" t="s">
        <v>961</v>
      </c>
      <c r="F66" s="957"/>
      <c r="G66" s="950"/>
      <c r="H66" s="618"/>
      <c r="I66" s="618"/>
      <c r="J66" s="837"/>
    </row>
    <row r="67" spans="1:19" ht="15" customHeight="1" x14ac:dyDescent="0.25">
      <c r="A67" s="982"/>
      <c r="B67" s="618"/>
      <c r="C67" s="951" t="s">
        <v>899</v>
      </c>
      <c r="D67" s="954">
        <f t="shared" si="0"/>
        <v>0</v>
      </c>
      <c r="E67" s="951" t="s">
        <v>886</v>
      </c>
      <c r="F67" s="957"/>
      <c r="G67" s="950"/>
      <c r="H67" s="618"/>
      <c r="I67" s="618"/>
      <c r="J67" s="837"/>
    </row>
    <row r="68" spans="1:19" ht="18.75" x14ac:dyDescent="0.25">
      <c r="A68" s="982"/>
      <c r="B68" s="618"/>
      <c r="C68" s="951" t="s">
        <v>900</v>
      </c>
      <c r="D68" s="954">
        <f t="shared" si="0"/>
        <v>0</v>
      </c>
      <c r="E68" s="951" t="s">
        <v>887</v>
      </c>
      <c r="F68" s="958"/>
      <c r="G68" s="950"/>
      <c r="H68" s="618"/>
      <c r="I68" s="618"/>
      <c r="J68" s="837"/>
    </row>
    <row r="69" spans="1:19" ht="10.5" customHeight="1" x14ac:dyDescent="0.25">
      <c r="A69" s="982"/>
      <c r="B69" s="618"/>
      <c r="C69" s="950"/>
      <c r="D69" s="950"/>
      <c r="E69" s="950"/>
      <c r="F69" s="950"/>
      <c r="G69" s="950"/>
      <c r="H69" s="950"/>
      <c r="I69" s="618"/>
      <c r="K69" s="838"/>
    </row>
    <row r="70" spans="1:19" ht="15" customHeight="1" x14ac:dyDescent="0.25">
      <c r="A70" s="982"/>
      <c r="B70" s="618"/>
      <c r="C70" s="959" t="s">
        <v>64</v>
      </c>
      <c r="D70" s="759"/>
      <c r="E70" s="759"/>
      <c r="F70" s="957">
        <f>IF(F27&lt;&gt;0,ROUND(G27-G23-G24,2),0)</f>
        <v>0</v>
      </c>
      <c r="G70" s="950"/>
      <c r="H70" s="950"/>
      <c r="I70" s="618"/>
      <c r="K70" s="838"/>
    </row>
    <row r="71" spans="1:19" s="633" customFormat="1" ht="10.5" customHeight="1" x14ac:dyDescent="0.25">
      <c r="A71" s="982"/>
      <c r="B71" s="618"/>
      <c r="C71" s="950"/>
      <c r="D71" s="950"/>
      <c r="E71" s="950"/>
      <c r="F71" s="950"/>
      <c r="G71" s="950"/>
      <c r="H71" s="950"/>
      <c r="I71" s="618"/>
      <c r="J71" s="839"/>
      <c r="K71" s="840"/>
      <c r="L71" s="841"/>
      <c r="M71" s="841"/>
      <c r="N71" s="842"/>
      <c r="O71" s="842"/>
      <c r="P71" s="842"/>
      <c r="Q71" s="842"/>
      <c r="R71" s="842"/>
      <c r="S71" s="907"/>
    </row>
    <row r="72" spans="1:19" x14ac:dyDescent="0.25">
      <c r="A72" s="982"/>
      <c r="B72" s="618"/>
      <c r="C72" s="959" t="str">
        <f>IF(NK_1&gt;0,"Nebenkosten:","")</f>
        <v/>
      </c>
      <c r="D72" s="759"/>
      <c r="E72" s="759"/>
      <c r="F72" s="957" t="str">
        <f>IF(NK_1&gt;0,ROUND(NK_1,2),"")</f>
        <v/>
      </c>
      <c r="G72" s="950"/>
      <c r="H72" s="950"/>
      <c r="I72" s="618"/>
      <c r="K72" s="838"/>
    </row>
    <row r="73" spans="1:19" x14ac:dyDescent="0.25">
      <c r="A73" s="982"/>
      <c r="B73" s="633"/>
      <c r="C73" s="756" t="str">
        <f>IF(NK_2&gt;0,"Amtsgebühren mit Mwst.:","")</f>
        <v/>
      </c>
      <c r="D73" s="756"/>
      <c r="E73" s="756"/>
      <c r="F73" s="755" t="str">
        <f>IF(NK_2&gt;0,ROUND(NK_2,2),"")</f>
        <v/>
      </c>
      <c r="G73" s="756"/>
      <c r="H73" s="756"/>
      <c r="I73" s="633"/>
    </row>
    <row r="74" spans="1:19" x14ac:dyDescent="0.25">
      <c r="A74" s="982"/>
      <c r="C74" s="760"/>
      <c r="D74" s="760"/>
      <c r="E74" s="760"/>
      <c r="F74" s="761"/>
      <c r="G74" s="760"/>
      <c r="H74" s="760"/>
    </row>
    <row r="75" spans="1:19" x14ac:dyDescent="0.25">
      <c r="A75" s="982"/>
      <c r="C75" s="753" t="str">
        <f>IF(E26&gt;0,"Nebenkosten:","")</f>
        <v/>
      </c>
      <c r="D75" s="753"/>
      <c r="E75" s="753"/>
      <c r="F75" s="755" t="str">
        <f>IF(E26&gt;0,ROUND(E26,2),"")</f>
        <v/>
      </c>
      <c r="G75" s="753"/>
      <c r="H75" s="753"/>
    </row>
    <row r="76" spans="1:19" s="650" customFormat="1" ht="15.75" x14ac:dyDescent="0.25">
      <c r="A76" s="982"/>
      <c r="B76" s="611"/>
      <c r="C76" s="650" t="s">
        <v>71</v>
      </c>
      <c r="D76" s="762"/>
      <c r="E76" s="762"/>
      <c r="F76" s="763"/>
      <c r="G76" s="980">
        <f>IF(F27=1,SUM(F70:F73),0)</f>
        <v>0</v>
      </c>
      <c r="H76" s="980"/>
      <c r="I76" s="611"/>
      <c r="J76" s="843"/>
      <c r="K76" s="844"/>
      <c r="L76" s="845"/>
      <c r="M76" s="845"/>
      <c r="N76" s="846"/>
      <c r="O76" s="846"/>
      <c r="P76" s="846"/>
      <c r="Q76" s="846"/>
      <c r="R76" s="846"/>
      <c r="S76" s="908"/>
    </row>
    <row r="77" spans="1:19" x14ac:dyDescent="0.25">
      <c r="A77" s="982"/>
      <c r="C77" s="764"/>
      <c r="D77" s="753"/>
      <c r="E77" s="758"/>
      <c r="F77" s="755" t="str">
        <f>IF(O25&lt;&gt;0,ROUND(O25,2),"")</f>
        <v/>
      </c>
      <c r="G77" s="753"/>
      <c r="H77" s="753"/>
    </row>
    <row r="78" spans="1:19" ht="15.75" x14ac:dyDescent="0.25">
      <c r="A78" s="982"/>
      <c r="B78" s="650"/>
      <c r="C78" s="650" t="str">
        <f>IF(NK_3&gt;0,"zuzügl. Amtsgebühren ohne Mwst.:","")</f>
        <v/>
      </c>
      <c r="D78" s="858"/>
      <c r="E78" s="859"/>
      <c r="F78" s="860" t="str">
        <f>IF(NK_3&lt;&gt;0,ROUND(NK_3,2),"")</f>
        <v/>
      </c>
      <c r="G78" s="980" t="str">
        <f>IF(N25&gt;0,ROUND(N25,2),"")</f>
        <v/>
      </c>
      <c r="H78" s="980"/>
      <c r="I78" s="650"/>
    </row>
    <row r="79" spans="1:19" x14ac:dyDescent="0.25">
      <c r="A79" s="982"/>
      <c r="C79" s="759"/>
      <c r="D79" s="759"/>
      <c r="E79" s="759"/>
      <c r="F79" s="759"/>
      <c r="G79" s="759"/>
      <c r="H79" s="759"/>
    </row>
    <row r="80" spans="1:19" x14ac:dyDescent="0.25">
      <c r="G80" s="766"/>
      <c r="H80" s="847"/>
    </row>
    <row r="81" spans="7:8" x14ac:dyDescent="0.25">
      <c r="G81" s="753"/>
      <c r="H81" s="753"/>
    </row>
  </sheetData>
  <sheetProtection selectLockedCells="1"/>
  <mergeCells count="12">
    <mergeCell ref="A1:A28"/>
    <mergeCell ref="D2:H2"/>
    <mergeCell ref="G78:H78"/>
    <mergeCell ref="C38:H38"/>
    <mergeCell ref="A29:A79"/>
    <mergeCell ref="G76:H76"/>
    <mergeCell ref="G27:H27"/>
    <mergeCell ref="B30:I30"/>
    <mergeCell ref="B31:I31"/>
    <mergeCell ref="B32:I32"/>
    <mergeCell ref="B33:I33"/>
    <mergeCell ref="B35:I35"/>
  </mergeCells>
  <conditionalFormatting sqref="G14:G15">
    <cfRule type="expression" dxfId="8" priority="5">
      <formula>(s_5=0)</formula>
    </cfRule>
  </conditionalFormatting>
  <conditionalFormatting sqref="G18:G19">
    <cfRule type="expression" dxfId="7" priority="4">
      <formula>(AND(s_7=0,s_5=0))</formula>
    </cfRule>
  </conditionalFormatting>
  <conditionalFormatting sqref="H18:H19">
    <cfRule type="expression" dxfId="6" priority="3">
      <formula>(AND(s_7=0,s_5=0))</formula>
    </cfRule>
  </conditionalFormatting>
  <conditionalFormatting sqref="G17">
    <cfRule type="expression" dxfId="5" priority="2">
      <formula>(s_7=0)</formula>
    </cfRule>
  </conditionalFormatting>
  <conditionalFormatting sqref="G20">
    <cfRule type="expression" dxfId="4" priority="1">
      <formula>(s_7=0)</formula>
    </cfRule>
  </conditionalFormatting>
  <dataValidations count="9">
    <dataValidation type="decimal" operator="greaterThanOrEqual" allowBlank="1" showInputMessage="1" showErrorMessage="1" error="Nur positive Zahlen erlaubt!" sqref="G19">
      <formula1>0</formula1>
    </dataValidation>
    <dataValidation type="whole" operator="greaterThanOrEqual" allowBlank="1" showInputMessage="1" showErrorMessage="1" error="Nur positive ganze Zahlen erlaubt!" sqref="G20:G21">
      <formula1>0</formula1>
    </dataValidation>
    <dataValidation type="whole" operator="greaterThanOrEqual" allowBlank="1" showInputMessage="1" showErrorMessage="1" error="Nur positive ganze Zahlen &gt;= 2 erlaubt!" sqref="G14">
      <formula1>2</formula1>
    </dataValidation>
    <dataValidation type="decimal" operator="greaterThanOrEqual" allowBlank="1" showInputMessage="1" showErrorMessage="1" error="Mindestfläche: 25m2" sqref="G18">
      <formula1>25</formula1>
    </dataValidation>
    <dataValidation type="whole" operator="greaterThanOrEqual" allowBlank="1" showInputMessage="1" showErrorMessage="1" error="Nur positive ganze Zahlen erlaubt!" sqref="G17">
      <formula1>1</formula1>
    </dataValidation>
    <dataValidation type="whole" operator="greaterThanOrEqual" allowBlank="1" showInputMessage="1" showErrorMessage="1" error="Minimum: 1 Eigentümer!" sqref="G6">
      <formula1>1</formula1>
    </dataValidation>
    <dataValidation type="decimal" operator="greaterThanOrEqual" allowBlank="1" showInputMessage="1" showErrorMessage="1" error="Nur positive ganze Zahl erlaubt!" sqref="G4">
      <formula1>0</formula1>
    </dataValidation>
    <dataValidation type="whole" operator="greaterThanOrEqual" allowBlank="1" showInputMessage="1" showErrorMessage="1" error="Punktanzahl mindestens 2!" sqref="G5">
      <formula1>2</formula1>
    </dataValidation>
    <dataValidation type="whole" operator="greaterThanOrEqual" allowBlank="1" showInputMessage="1" showErrorMessage="1" error="Minimum: 2" sqref="L14">
      <formula1>2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Daten aus Dropdown-Liste auswählen">
          <x14:formula1>
            <xm:f>Konstante!$F$3:$F$5</xm:f>
          </x14:formula1>
          <xm:sqref>G7</xm:sqref>
        </x14:dataValidation>
        <x14:dataValidation type="list" allowBlank="1" showInputMessage="1" showErrorMessage="1" error="Daten aus Dropdown-Liste auswählen">
          <x14:formula1>
            <xm:f>Konstante!$C$3:$C$11</xm:f>
          </x14:formula1>
          <xm:sqref>G8</xm:sqref>
        </x14:dataValidation>
        <x14:dataValidation type="list" allowBlank="1" showInputMessage="1" showErrorMessage="1" error="Daten aus Dropdown-Liste auswählen!">
          <x14:formula1>
            <xm:f>Konstante!$J$3:$J$4</xm:f>
          </x14:formula1>
          <xm:sqref>G9:G11 G13 G15:G16</xm:sqref>
        </x14:dataValidation>
        <x14:dataValidation type="list" allowBlank="1" showInputMessage="1" showErrorMessage="1" error="Daten aus Dropdown-Liste auswählen!">
          <x14:formula1>
            <xm:f>Konstante!$M$3:$M$6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workbookViewId="0">
      <selection activeCell="H7" sqref="H7"/>
    </sheetView>
  </sheetViews>
  <sheetFormatPr baseColWidth="10" defaultRowHeight="15" x14ac:dyDescent="0.25"/>
  <cols>
    <col min="1" max="1" width="4" customWidth="1"/>
    <col min="2" max="2" width="6.7109375" customWidth="1"/>
    <col min="3" max="8" width="12.7109375" customWidth="1"/>
    <col min="9" max="9" width="5.7109375" customWidth="1"/>
  </cols>
  <sheetData>
    <row r="1" spans="1:19" ht="15.75" x14ac:dyDescent="0.25">
      <c r="A1" s="975" t="s">
        <v>35</v>
      </c>
      <c r="B1" s="63"/>
      <c r="C1" s="63"/>
      <c r="D1" s="63"/>
      <c r="E1" s="63"/>
      <c r="F1" s="63"/>
      <c r="G1" s="63"/>
      <c r="H1" s="63"/>
      <c r="I1" s="63"/>
      <c r="K1" s="137" t="s">
        <v>792</v>
      </c>
      <c r="L1" s="137"/>
      <c r="M1" s="137"/>
      <c r="N1" s="210">
        <f ca="1">CELL("ZEILE",B27)</f>
        <v>27</v>
      </c>
    </row>
    <row r="2" spans="1:19" ht="23.25" x14ac:dyDescent="0.25">
      <c r="A2" s="975"/>
      <c r="B2" s="64"/>
      <c r="C2" s="65" t="s">
        <v>36</v>
      </c>
      <c r="D2" s="995" t="s">
        <v>326</v>
      </c>
      <c r="E2" s="996"/>
      <c r="F2" s="996"/>
      <c r="G2" s="996"/>
      <c r="H2" s="997"/>
      <c r="I2" s="63"/>
      <c r="K2" s="268" t="s">
        <v>793</v>
      </c>
      <c r="L2" s="236"/>
      <c r="M2" s="236"/>
      <c r="N2" s="268">
        <f ca="1">CELL("ZEILE",G60)</f>
        <v>60</v>
      </c>
    </row>
    <row r="3" spans="1:19" ht="23.25" x14ac:dyDescent="0.25">
      <c r="A3" s="975"/>
      <c r="B3" s="64"/>
      <c r="C3" s="65"/>
      <c r="D3" s="83"/>
      <c r="E3" s="84"/>
      <c r="F3" s="84"/>
      <c r="G3" s="84"/>
      <c r="H3" s="85"/>
      <c r="I3" s="63"/>
      <c r="K3" s="268" t="s">
        <v>794</v>
      </c>
      <c r="L3" s="236"/>
      <c r="M3" s="236"/>
      <c r="N3" s="268">
        <f>F19</f>
        <v>0</v>
      </c>
    </row>
    <row r="4" spans="1:19" ht="15.75" x14ac:dyDescent="0.25">
      <c r="A4" s="975"/>
      <c r="B4" s="64"/>
      <c r="C4" s="65" t="s">
        <v>325</v>
      </c>
      <c r="D4" s="65"/>
      <c r="E4" s="66"/>
      <c r="F4" s="67"/>
      <c r="G4" s="67"/>
      <c r="H4" s="398">
        <v>700</v>
      </c>
      <c r="I4" s="63"/>
      <c r="K4" s="385" t="s">
        <v>324</v>
      </c>
      <c r="L4" s="385"/>
      <c r="M4" s="390">
        <f>IF(H4&lt;=600,1,2)</f>
        <v>2</v>
      </c>
      <c r="N4" s="385" t="s">
        <v>323</v>
      </c>
      <c r="O4" s="385"/>
      <c r="P4" s="385"/>
      <c r="Q4" s="385"/>
      <c r="R4" s="385"/>
      <c r="S4" s="385"/>
    </row>
    <row r="5" spans="1:19" ht="15.75" x14ac:dyDescent="0.25">
      <c r="A5" s="975"/>
      <c r="B5" s="64"/>
      <c r="C5" s="68" t="s">
        <v>322</v>
      </c>
      <c r="D5" s="68"/>
      <c r="E5" s="68"/>
      <c r="F5" s="68"/>
      <c r="G5" s="68"/>
      <c r="H5" s="79" t="str">
        <f>IF(H4&lt;=600,"tachymetrisch","GNSS")</f>
        <v>GNSS</v>
      </c>
      <c r="I5" s="63"/>
      <c r="K5" s="385"/>
      <c r="L5" s="385"/>
      <c r="M5" s="385"/>
      <c r="N5" s="385"/>
      <c r="O5" s="385"/>
      <c r="P5" s="385"/>
      <c r="Q5" s="385"/>
      <c r="R5" s="385"/>
      <c r="S5" s="385"/>
    </row>
    <row r="6" spans="1:19" ht="15.75" x14ac:dyDescent="0.25">
      <c r="A6" s="975"/>
      <c r="B6" s="64"/>
      <c r="C6" s="65" t="s">
        <v>321</v>
      </c>
      <c r="D6" s="65"/>
      <c r="E6" s="69"/>
      <c r="F6" s="69"/>
      <c r="G6" s="66"/>
      <c r="H6" s="392">
        <f>IF(H4&lt;=600,4,1)</f>
        <v>1</v>
      </c>
      <c r="I6" s="63"/>
      <c r="K6" s="385" t="s">
        <v>320</v>
      </c>
      <c r="L6" s="385"/>
      <c r="M6" s="385"/>
      <c r="N6" s="385"/>
      <c r="O6" s="385"/>
      <c r="P6" s="385"/>
      <c r="Q6" s="385"/>
      <c r="R6" s="385"/>
      <c r="S6" s="385"/>
    </row>
    <row r="7" spans="1:19" ht="15.75" x14ac:dyDescent="0.25">
      <c r="A7" s="975"/>
      <c r="B7" s="64"/>
      <c r="C7" s="65" t="s">
        <v>319</v>
      </c>
      <c r="D7" s="65"/>
      <c r="E7" s="67"/>
      <c r="F7" s="67"/>
      <c r="G7" s="397" t="str">
        <f>IF(n&lt;H6,"Mindestanzahl beachten &gt;&gt;&gt;","")</f>
        <v>Mindestanzahl beachten &gt;&gt;&gt;</v>
      </c>
      <c r="H7" s="396"/>
      <c r="I7" s="63"/>
      <c r="K7" s="385" t="s">
        <v>318</v>
      </c>
      <c r="L7" s="385"/>
      <c r="M7" s="385"/>
      <c r="N7" s="385"/>
      <c r="O7" s="385"/>
      <c r="P7" s="385"/>
      <c r="Q7" s="385"/>
      <c r="R7" s="385"/>
      <c r="S7" s="385"/>
    </row>
    <row r="8" spans="1:19" ht="19.5" customHeight="1" x14ac:dyDescent="0.25">
      <c r="A8" s="975"/>
      <c r="B8" s="64"/>
      <c r="C8" s="395" t="s">
        <v>317</v>
      </c>
      <c r="D8" s="65"/>
      <c r="E8" s="394"/>
      <c r="F8" s="393"/>
      <c r="G8" s="393"/>
      <c r="H8" s="392"/>
      <c r="I8" s="63"/>
      <c r="K8" s="385"/>
      <c r="L8" s="385"/>
      <c r="M8" s="385"/>
      <c r="N8" s="385"/>
      <c r="O8" s="385"/>
      <c r="P8" s="385"/>
      <c r="Q8" s="385"/>
      <c r="R8" s="385"/>
      <c r="S8" s="385"/>
    </row>
    <row r="9" spans="1:19" ht="15.75" x14ac:dyDescent="0.25">
      <c r="A9" s="975"/>
      <c r="B9" s="64"/>
      <c r="C9" s="102" t="s">
        <v>316</v>
      </c>
      <c r="D9" s="64">
        <f>VLOOKUP(E9,Konstante!C22:G25,5,FALSE)</f>
        <v>1</v>
      </c>
      <c r="E9" s="988" t="s">
        <v>315</v>
      </c>
      <c r="F9" s="989"/>
      <c r="G9" s="989"/>
      <c r="H9" s="990"/>
      <c r="I9" s="661" t="str">
        <f>IF(OR(AND(Messmet=Konstante!C31,E9=Konstante!C24),AND(Messmet=Konstante!C31,E9=Konstante!C25),AND(Messmet=Konstante!C32,E9=Konstante!C22),AND(Messmet=Konstante!C32,E9=Konstante!C23),),"&lt;&lt;&lt;&lt;","")</f>
        <v>&lt;&lt;&lt;&lt;</v>
      </c>
      <c r="K9" s="391"/>
      <c r="L9" s="384"/>
      <c r="N9" s="385"/>
      <c r="O9" s="385"/>
      <c r="P9" s="385"/>
      <c r="Q9" s="385"/>
      <c r="R9" s="385"/>
      <c r="S9" s="385"/>
    </row>
    <row r="10" spans="1:19" ht="15.75" customHeight="1" x14ac:dyDescent="0.25">
      <c r="A10" s="975"/>
      <c r="B10" s="64"/>
      <c r="C10" s="389" t="s">
        <v>314</v>
      </c>
      <c r="D10" s="70"/>
      <c r="E10" s="70"/>
      <c r="F10" s="70"/>
      <c r="G10" s="102" t="s">
        <v>301</v>
      </c>
      <c r="H10" s="388">
        <v>1</v>
      </c>
      <c r="I10" s="64"/>
      <c r="K10" s="385"/>
      <c r="L10" s="385"/>
      <c r="M10" s="385"/>
      <c r="N10" s="385"/>
      <c r="O10" s="385"/>
      <c r="P10" s="385"/>
      <c r="Q10" s="385"/>
      <c r="R10" s="385"/>
      <c r="S10" s="385"/>
    </row>
    <row r="11" spans="1:19" ht="21" customHeight="1" x14ac:dyDescent="0.25">
      <c r="A11" s="975"/>
      <c r="B11" s="64"/>
      <c r="C11" s="991" t="str">
        <f>IF(E&lt;1.2,"Punkte ohne größere Umwege und ohne längere Fußwege erreichbar","Punkte über größere Umwege und/oder längere Fußwege erreichbar")</f>
        <v>Punkte ohne größere Umwege und ohne längere Fußwege erreichbar</v>
      </c>
      <c r="D11" s="992"/>
      <c r="E11" s="992"/>
      <c r="F11" s="992"/>
      <c r="G11" s="992"/>
      <c r="H11" s="993"/>
      <c r="I11" s="64"/>
      <c r="K11" s="385" t="str">
        <f>Messmet</f>
        <v>GNSS</v>
      </c>
      <c r="L11" s="385"/>
      <c r="M11" s="385">
        <f>IF(Messmet="tachymetrisch",Konstante!J23,Konstante!Q$23)</f>
        <v>2000</v>
      </c>
      <c r="N11" s="385">
        <f>IF(Messmet="tachymetrisch",Konstante!K23,Konstante!R$23)</f>
        <v>7000</v>
      </c>
      <c r="O11" s="385">
        <f>IF(Messmet="tachymetrisch",Konstante!L23,Konstante!S$23)</f>
        <v>12000</v>
      </c>
      <c r="P11" s="385">
        <f>IF(Messmet="tachymetrisch",Konstante!M23,Konstante!T$23)</f>
        <v>25000</v>
      </c>
      <c r="Q11" s="385">
        <f>IF(Messmet="tachymetrisch",Konstante!N23,Konstante!U$23)</f>
        <v>50000</v>
      </c>
      <c r="R11" s="385"/>
      <c r="S11" s="385"/>
    </row>
    <row r="12" spans="1:19" ht="15.75" x14ac:dyDescent="0.25">
      <c r="A12" s="975"/>
      <c r="B12" s="64"/>
      <c r="C12" s="65" t="s">
        <v>313</v>
      </c>
      <c r="D12" s="70"/>
      <c r="E12" s="511" t="s">
        <v>311</v>
      </c>
      <c r="F12" s="70"/>
      <c r="G12" s="102" t="s">
        <v>300</v>
      </c>
      <c r="H12" s="387">
        <f>VLOOKUP(E12,Konstante!C28:D29,2,FALSE)</f>
        <v>1</v>
      </c>
      <c r="I12" s="64"/>
      <c r="K12" s="385" t="s">
        <v>308</v>
      </c>
      <c r="L12" s="385"/>
      <c r="M12" s="385">
        <f>IF(Messmet="tachymetrisch",VLOOKUP(n,Konstante!$I$24:$N$27,2,TRUE),Konstante!Q$24)</f>
        <v>24.13</v>
      </c>
      <c r="N12" s="385">
        <f>IF(Messmet="tachymetrisch",VLOOKUP(n,Konstante!$I$24:$N$27,3,TRUE),Konstante!R$24)</f>
        <v>30.29</v>
      </c>
      <c r="O12" s="385">
        <f>IF(Messmet="tachymetrisch",VLOOKUP(n,Konstante!$I$24:$N$27,4,TRUE),Konstante!S$24)</f>
        <v>33.549999999999997</v>
      </c>
      <c r="P12" s="385">
        <f>IF(Messmet="tachymetrisch",VLOOKUP(n,Konstante!$I$24:$N$27,5,TRUE),Konstante!T$24)</f>
        <v>36.549999999999997</v>
      </c>
      <c r="Q12" s="385">
        <f>IF(Messmet="tachymetrisch",VLOOKUP(n,Konstante!$I$24:$N$27,6,TRUE),Konstante!U$24)</f>
        <v>36.549999999999997</v>
      </c>
      <c r="R12" s="385"/>
      <c r="S12" s="385"/>
    </row>
    <row r="13" spans="1:19" ht="15.75" x14ac:dyDescent="0.25">
      <c r="A13" s="975"/>
      <c r="B13" s="63"/>
      <c r="C13" s="65" t="s">
        <v>312</v>
      </c>
      <c r="D13" s="70"/>
      <c r="E13" s="388" t="s">
        <v>534</v>
      </c>
      <c r="F13" s="70"/>
      <c r="G13" s="102" t="s">
        <v>310</v>
      </c>
      <c r="H13" s="387">
        <f>IF(H5="tachymetrisch",VLOOKUP(E13,Konstante!E28:F29,2,FALSE),1)</f>
        <v>1</v>
      </c>
      <c r="I13" s="64"/>
      <c r="K13" s="385" t="s">
        <v>307</v>
      </c>
      <c r="L13" s="385"/>
      <c r="M13" s="385">
        <f>IF(Messmet="tachymetrisch",Konstante!J28,Konstante!Q$25)</f>
        <v>6.83</v>
      </c>
      <c r="N13" s="385">
        <f>IF(Messmet="tachymetrisch",Konstante!K28,Konstante!R$25)</f>
        <v>7.69</v>
      </c>
      <c r="O13" s="385">
        <f>IF(Messmet="tachymetrisch",Konstante!L28,Konstante!S$25)</f>
        <v>8.15</v>
      </c>
      <c r="P13" s="385">
        <f>IF(Messmet="tachymetrisch",Konstante!M28,Konstante!T$25)</f>
        <v>8.56</v>
      </c>
      <c r="Q13" s="385">
        <f>IF(Messmet="tachymetrisch",Konstante!N28,Konstante!U$25)</f>
        <v>8.56</v>
      </c>
      <c r="R13" s="385"/>
      <c r="S13" s="385"/>
    </row>
    <row r="14" spans="1:19" ht="15.75" x14ac:dyDescent="0.25">
      <c r="A14" s="975"/>
      <c r="B14" s="64"/>
      <c r="C14" s="660" t="str">
        <f>IF(Messmet=Konstante!C32, "h hat keine Relevanz!","")</f>
        <v>h hat keine Relevanz!</v>
      </c>
      <c r="D14" s="65"/>
      <c r="E14" s="76"/>
      <c r="F14" s="65"/>
      <c r="G14" s="64"/>
      <c r="H14" s="64"/>
      <c r="I14" s="65"/>
      <c r="K14" s="385"/>
      <c r="L14" s="385"/>
      <c r="M14" s="385"/>
      <c r="N14" s="385"/>
      <c r="O14" s="385"/>
      <c r="P14" s="385"/>
      <c r="Q14" s="385"/>
      <c r="R14" s="385"/>
      <c r="S14" s="385"/>
    </row>
    <row r="15" spans="1:19" ht="15.75" x14ac:dyDescent="0.25">
      <c r="A15" s="975"/>
      <c r="B15" s="64"/>
      <c r="C15" s="71"/>
      <c r="D15" s="72"/>
      <c r="E15" s="71"/>
      <c r="F15" s="73"/>
      <c r="G15" s="712" t="s">
        <v>717</v>
      </c>
      <c r="H15" s="73"/>
      <c r="I15" s="65"/>
      <c r="K15" s="385" t="s">
        <v>309</v>
      </c>
      <c r="L15" s="385"/>
      <c r="M15" s="385">
        <f>IF(PktAbst&gt;M11,IF(PktAbst&gt;N11,IF(PktAbst&gt;O11,IF(PktAbst&gt;P11,IF(PktAbst&gt;Q11,Q11,P11),O11),N11),M11),M11)</f>
        <v>2000</v>
      </c>
      <c r="N15" s="385">
        <f>IF(PktAbst&gt;M11,IF(PktAbst&gt;N11,IF(PktAbst&gt;O11,IF(PktAbst&gt;P11,Q11,P11),O11),N11),M11)</f>
        <v>2000</v>
      </c>
      <c r="O15" s="385"/>
      <c r="P15" s="386">
        <f>IF(PktAbst&lt;=M15,0,IF(PktAbst&gt;=N15,1,((PktAbst-M15)/(N15-M15))))</f>
        <v>0</v>
      </c>
      <c r="Q15" s="385"/>
      <c r="R15" s="385"/>
      <c r="S15" s="385"/>
    </row>
    <row r="16" spans="1:19" ht="15.75" x14ac:dyDescent="0.25">
      <c r="A16" s="975"/>
      <c r="B16" s="64"/>
      <c r="C16" s="65" t="s">
        <v>34</v>
      </c>
      <c r="D16" s="65"/>
      <c r="E16" s="74"/>
      <c r="F16" s="65"/>
      <c r="G16" s="1000"/>
      <c r="H16" s="1001"/>
      <c r="I16" s="65"/>
      <c r="K16" s="385" t="s">
        <v>308</v>
      </c>
      <c r="L16" s="385"/>
      <c r="M16" s="385">
        <f>IF(PktAbst&gt;M11,IF(PktAbst&gt;N11,IF(PktAbst&gt;O11,IF(PktAbst&gt;P11,IF(PktAbst&gt;Q11,Q12,P12),O12),N12),M12),M12)</f>
        <v>24.13</v>
      </c>
      <c r="N16" s="385">
        <f>IF(PktAbst&gt;M11,IF(PktAbst&gt;N11,IF(PktAbst&gt;O11,IF(PktAbst&gt;P11,Q12,P12),O12),N12),M12)</f>
        <v>24.13</v>
      </c>
      <c r="O16" s="385"/>
      <c r="P16" s="386">
        <f>M16+(N16-M16)*P$15</f>
        <v>24.13</v>
      </c>
      <c r="Q16" s="385"/>
      <c r="R16" s="385"/>
      <c r="S16" s="385"/>
    </row>
    <row r="17" spans="1:19" ht="15.75" x14ac:dyDescent="0.25">
      <c r="A17" s="975"/>
      <c r="B17" s="64"/>
      <c r="C17" s="65" t="s">
        <v>1</v>
      </c>
      <c r="D17" s="65"/>
      <c r="E17" s="75"/>
      <c r="F17" s="65"/>
      <c r="G17" s="998"/>
      <c r="H17" s="998"/>
      <c r="I17" s="65"/>
      <c r="K17" s="385" t="s">
        <v>307</v>
      </c>
      <c r="L17" s="385"/>
      <c r="M17" s="385">
        <f>IF(PktAbst&gt;M11,IF(PktAbst&gt;N11,IF(PktAbst&gt;O11,IF(PktAbst&gt;P11,IF(PktAbst&gt;Q11,Q13,P13),O13),N13),M13),M13)</f>
        <v>6.83</v>
      </c>
      <c r="N17" s="385">
        <f>IF(PktAbst&gt;M11,IF(PktAbst&gt;N11,IF(PktAbst&gt;O11,IF(PktAbst&gt;P13,Q13,P13),O13),N13),M13)</f>
        <v>6.83</v>
      </c>
      <c r="O17" s="385"/>
      <c r="P17" s="386">
        <f>M17+(N17-M17)*P$15</f>
        <v>6.83</v>
      </c>
      <c r="Q17" s="385">
        <f>IF(Messmet="tachymetrisch",IF(n&gt;7,n-7,0),IF(n&gt;1,n-1,0))</f>
        <v>0</v>
      </c>
      <c r="R17" s="384" t="s">
        <v>304</v>
      </c>
      <c r="S17" s="383">
        <f>IF(VSK&gt;0,P16+Q17*P17,0)</f>
        <v>0</v>
      </c>
    </row>
    <row r="18" spans="1:19" ht="15.75" x14ac:dyDescent="0.25">
      <c r="A18" s="975"/>
      <c r="B18" s="64"/>
      <c r="C18" s="65"/>
      <c r="D18" s="65"/>
      <c r="E18" s="76"/>
      <c r="F18" s="65"/>
      <c r="G18" s="64"/>
      <c r="H18" s="64"/>
      <c r="I18" s="63"/>
    </row>
    <row r="19" spans="1:19" ht="21" x14ac:dyDescent="0.35">
      <c r="A19" s="975"/>
      <c r="B19" s="63"/>
      <c r="C19" s="77" t="str">
        <f>IF(F19=0, "UNVOLLSTÄNDIG AUSGEFÜLLT!","")</f>
        <v>UNVOLLSTÄNDIG AUSGEFÜLLT!</v>
      </c>
      <c r="D19" s="63"/>
      <c r="E19" s="63"/>
      <c r="F19" s="687">
        <f>IF(AND(ISNUMBER(H4),ISNUMBER(H7),E9&lt;&gt;"",ISNUMBER(E),ISNUMBER(W),ISNUMBER(h),n&gt;=H6),1,0)</f>
        <v>0</v>
      </c>
      <c r="G19" s="999" t="str">
        <f>IF(VSK&lt;&gt;0, G60,"")</f>
        <v/>
      </c>
      <c r="H19" s="999"/>
      <c r="I19" s="63"/>
    </row>
    <row r="20" spans="1:19" ht="15.75" x14ac:dyDescent="0.25">
      <c r="A20" s="975"/>
      <c r="B20" s="63"/>
      <c r="C20" s="63"/>
      <c r="D20" s="63"/>
      <c r="E20" s="63"/>
      <c r="F20" s="63"/>
      <c r="G20" s="63"/>
      <c r="H20" s="63"/>
      <c r="I20" s="63"/>
    </row>
    <row r="21" spans="1:19" x14ac:dyDescent="0.25">
      <c r="A21" s="973" t="s">
        <v>72</v>
      </c>
    </row>
    <row r="22" spans="1:19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9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9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9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9" x14ac:dyDescent="0.25">
      <c r="A26" s="973"/>
    </row>
    <row r="27" spans="1:19" ht="18.75" x14ac:dyDescent="0.25">
      <c r="A27" s="973"/>
      <c r="B27" s="968" t="str">
        <f>IF(Messmet=Konstante!C31,CONCATENATE(D2," - tachymetrisch"),CONCATENATE(D2," - GNSS"))</f>
        <v>NETZMESSUNG - GNSS</v>
      </c>
      <c r="C27" s="994"/>
      <c r="D27" s="994"/>
      <c r="E27" s="994"/>
      <c r="F27" s="994"/>
      <c r="G27" s="994"/>
      <c r="H27" s="994"/>
      <c r="I27" s="994"/>
    </row>
    <row r="28" spans="1:19" x14ac:dyDescent="0.25">
      <c r="A28" s="973"/>
    </row>
    <row r="29" spans="1:19" x14ac:dyDescent="0.25">
      <c r="A29" s="973"/>
      <c r="C29" t="str">
        <f>IF(Messmet=Konstante!C31,"LB_VG, Pos. 4.1.1, Ingenieurgeodätische Netzmessung","LB_VG, Pos. 4.1.2, Ingenieurgeodätische Netzmessung")</f>
        <v>LB_VG, Pos. 4.1.2, Ingenieurgeodätische Netzmessung</v>
      </c>
    </row>
    <row r="30" spans="1:19" x14ac:dyDescent="0.25">
      <c r="A30" s="973"/>
      <c r="C30" s="119" t="str">
        <f>IF(Messmet="tachymetrisch",Konstante!E31,Konstante!E32)</f>
        <v>Bearbeitungsaufwand von Netzen mit durchschnittlichem Punktabstand von mehr als 600m</v>
      </c>
    </row>
    <row r="31" spans="1:19" x14ac:dyDescent="0.25">
      <c r="A31" s="973"/>
    </row>
    <row r="32" spans="1:19" x14ac:dyDescent="0.25">
      <c r="A32" s="973"/>
      <c r="C32" t="s">
        <v>46</v>
      </c>
      <c r="E32" s="170">
        <f>Gesamt!E14</f>
        <v>79.08</v>
      </c>
    </row>
    <row r="33" spans="1:9" x14ac:dyDescent="0.25">
      <c r="A33" s="973"/>
    </row>
    <row r="34" spans="1:9" x14ac:dyDescent="0.25">
      <c r="A34" s="973"/>
      <c r="C34" s="135" t="str">
        <f>IF(Messmet="tachymetrisch",Konstante!M31,Konstante!M32)</f>
        <v>H = (A * G * E * W * IS) + N</v>
      </c>
    </row>
    <row r="35" spans="1:9" x14ac:dyDescent="0.25">
      <c r="A35" s="973"/>
    </row>
    <row r="36" spans="1:9" ht="15.75" x14ac:dyDescent="0.25">
      <c r="A36" s="973"/>
      <c r="B36" s="22"/>
      <c r="D36" s="502">
        <f>PktAbst</f>
        <v>700</v>
      </c>
      <c r="E36" t="s">
        <v>663</v>
      </c>
    </row>
    <row r="37" spans="1:9" x14ac:dyDescent="0.25">
      <c r="A37" s="973"/>
      <c r="B37" s="22"/>
    </row>
    <row r="38" spans="1:9" x14ac:dyDescent="0.25">
      <c r="A38" s="973"/>
      <c r="C38" t="s">
        <v>306</v>
      </c>
      <c r="D38" s="1">
        <f>n</f>
        <v>0</v>
      </c>
      <c r="E38" t="s">
        <v>305</v>
      </c>
    </row>
    <row r="39" spans="1:9" x14ac:dyDescent="0.25">
      <c r="A39" s="973"/>
      <c r="C39" t="s">
        <v>304</v>
      </c>
      <c r="D39" s="1">
        <f>IF(ISERROR(A), 0,A)</f>
        <v>0</v>
      </c>
      <c r="E39" t="s">
        <v>303</v>
      </c>
    </row>
    <row r="40" spans="1:9" x14ac:dyDescent="0.25">
      <c r="A40" s="973"/>
      <c r="C40" t="s">
        <v>302</v>
      </c>
      <c r="D40" s="1">
        <f>G</f>
        <v>1</v>
      </c>
      <c r="E40" t="str">
        <f>CONCATENATE("Standardabweichung: ",E9)</f>
        <v>Standardabweichung: L=(2mm+8mm/km) H=(5mm+10mm/km)</v>
      </c>
    </row>
    <row r="41" spans="1:9" x14ac:dyDescent="0.25">
      <c r="A41" s="973"/>
      <c r="C41" t="s">
        <v>301</v>
      </c>
      <c r="D41" s="1">
        <f>E</f>
        <v>1</v>
      </c>
      <c r="E41" t="str">
        <f>IF(E&gt;1,"außerordentliche Erschwernisse","")</f>
        <v/>
      </c>
    </row>
    <row r="42" spans="1:9" x14ac:dyDescent="0.25">
      <c r="A42" s="973"/>
      <c r="C42" t="s">
        <v>300</v>
      </c>
      <c r="D42" s="1">
        <f>W</f>
        <v>1</v>
      </c>
      <c r="E42" t="str">
        <f>IF(W&gt;=1, "Erstmessung", "Wiederholungsmessung")</f>
        <v>Erstmessung</v>
      </c>
    </row>
    <row r="43" spans="1:9" x14ac:dyDescent="0.25">
      <c r="A43" s="973"/>
      <c r="C43" t="str">
        <f>IF(h&gt;1,"h = ","")</f>
        <v/>
      </c>
      <c r="D43" s="1" t="str">
        <f>IF(h&lt;&gt;1,h,"")</f>
        <v/>
      </c>
      <c r="E43" t="str">
        <f>IF(h&gt;1,"zusätzliche Höhenmessung ","")</f>
        <v/>
      </c>
    </row>
    <row r="44" spans="1:9" x14ac:dyDescent="0.25">
      <c r="A44" s="973"/>
      <c r="H44" s="3"/>
      <c r="I44" s="3"/>
    </row>
    <row r="45" spans="1:9" x14ac:dyDescent="0.25">
      <c r="A45" s="973"/>
    </row>
    <row r="46" spans="1:9" x14ac:dyDescent="0.25">
      <c r="A46" s="973"/>
      <c r="C46" s="3" t="s">
        <v>64</v>
      </c>
      <c r="D46" s="3"/>
      <c r="E46" s="3"/>
      <c r="F46" s="32">
        <f>IF(h&gt;1,PRODUCT(D39,D40,D41,D42,D43,E32),PRODUCT(D39,D40,D41,D42,E32))</f>
        <v>0</v>
      </c>
      <c r="G46" s="3"/>
    </row>
    <row r="47" spans="1:9" x14ac:dyDescent="0.25">
      <c r="A47" s="973"/>
    </row>
    <row r="48" spans="1:9" x14ac:dyDescent="0.25">
      <c r="A48" s="973"/>
      <c r="B48" s="3"/>
    </row>
    <row r="49" spans="1:9" x14ac:dyDescent="0.25">
      <c r="A49" s="973"/>
    </row>
    <row r="50" spans="1:9" x14ac:dyDescent="0.25">
      <c r="A50" s="973"/>
    </row>
    <row r="51" spans="1:9" x14ac:dyDescent="0.25">
      <c r="A51" s="973"/>
    </row>
    <row r="52" spans="1:9" x14ac:dyDescent="0.25">
      <c r="A52" s="973"/>
    </row>
    <row r="53" spans="1:9" x14ac:dyDescent="0.25">
      <c r="A53" s="973"/>
    </row>
    <row r="54" spans="1:9" x14ac:dyDescent="0.25">
      <c r="A54" s="973"/>
    </row>
    <row r="55" spans="1:9" s="425" customFormat="1" x14ac:dyDescent="0.25">
      <c r="A55" s="973"/>
    </row>
    <row r="56" spans="1:9" x14ac:dyDescent="0.25">
      <c r="A56" s="973"/>
      <c r="B56" s="3"/>
      <c r="C56" t="str">
        <f>IF(AND(ZuAbschlag&lt;&gt;0,VSK&lt;&gt;0),"Zu-/Abschlag:","")</f>
        <v/>
      </c>
      <c r="E56" s="24" t="str">
        <f>IF(AND(ZuAbschlag&lt;&gt;0,VSK&lt;&gt;0),ZuAbschlag,"")</f>
        <v/>
      </c>
      <c r="F56" s="26" t="str">
        <f>IF(AND(ZuAbschlag&lt;&gt;0,VSK&lt;&gt;0),F46*E56,"")</f>
        <v/>
      </c>
      <c r="G56" s="1" t="str">
        <f>IF(AND(ZuAbschlag&lt;&gt;0,VSK&lt;&gt;0,G16&lt;&gt;""),G16,"")</f>
        <v/>
      </c>
    </row>
    <row r="57" spans="1:9" x14ac:dyDescent="0.25">
      <c r="A57" s="973"/>
      <c r="C57" t="str">
        <f>IF(AND(NK&lt;&gt;0,VSK&lt;&gt;0),"Nebenkosten:","")</f>
        <v/>
      </c>
      <c r="F57" s="26" t="str">
        <f>IF(AND(NK&lt;&gt;0,VSK&lt;&gt;0),NK,"")</f>
        <v/>
      </c>
      <c r="G57" s="1" t="str">
        <f>IF(AND(NK&lt;&gt;0,VSK&lt;&gt;0,G17&lt;&gt;""),G17,"")</f>
        <v/>
      </c>
    </row>
    <row r="58" spans="1:9" x14ac:dyDescent="0.25">
      <c r="A58" s="973"/>
      <c r="C58" s="108"/>
      <c r="D58" s="108"/>
      <c r="E58" s="108"/>
      <c r="F58" s="108"/>
      <c r="G58" s="108"/>
      <c r="H58" s="108"/>
    </row>
    <row r="59" spans="1:9" ht="15.75" x14ac:dyDescent="0.25">
      <c r="A59" s="973"/>
      <c r="I59" s="25"/>
    </row>
    <row r="60" spans="1:9" ht="15.75" x14ac:dyDescent="0.25">
      <c r="A60" s="973"/>
      <c r="C60" s="25" t="s">
        <v>71</v>
      </c>
      <c r="D60" s="25"/>
      <c r="E60" s="25"/>
      <c r="F60" s="25"/>
      <c r="G60" s="967">
        <f>IF(VSK&gt;0,SUM(F46,F56,F57),0)</f>
        <v>0</v>
      </c>
      <c r="H60" s="967"/>
    </row>
    <row r="61" spans="1:9" ht="15.75" x14ac:dyDescent="0.25">
      <c r="A61" s="973"/>
      <c r="B61" s="25"/>
    </row>
    <row r="62" spans="1:9" x14ac:dyDescent="0.25">
      <c r="A62" s="973"/>
    </row>
    <row r="63" spans="1:9" x14ac:dyDescent="0.25">
      <c r="A63" s="973"/>
    </row>
    <row r="64" spans="1:9" x14ac:dyDescent="0.25">
      <c r="A64" s="973"/>
    </row>
    <row r="65" spans="1:1" x14ac:dyDescent="0.25">
      <c r="A65" s="973"/>
    </row>
    <row r="66" spans="1:1" x14ac:dyDescent="0.25">
      <c r="A66" s="973"/>
    </row>
    <row r="67" spans="1:1" x14ac:dyDescent="0.25">
      <c r="A67" s="973"/>
    </row>
    <row r="68" spans="1:1" x14ac:dyDescent="0.25">
      <c r="A68" s="973"/>
    </row>
    <row r="69" spans="1:1" x14ac:dyDescent="0.25">
      <c r="A69" s="973"/>
    </row>
  </sheetData>
  <mergeCells count="14">
    <mergeCell ref="E9:H9"/>
    <mergeCell ref="C11:H11"/>
    <mergeCell ref="A1:A20"/>
    <mergeCell ref="A21:A69"/>
    <mergeCell ref="B23:I23"/>
    <mergeCell ref="B24:I24"/>
    <mergeCell ref="B25:I25"/>
    <mergeCell ref="B27:I27"/>
    <mergeCell ref="D2:H2"/>
    <mergeCell ref="G17:H17"/>
    <mergeCell ref="G19:H19"/>
    <mergeCell ref="B22:I22"/>
    <mergeCell ref="G60:H60"/>
    <mergeCell ref="G16:H16"/>
  </mergeCells>
  <dataValidations count="8">
    <dataValidation type="list" allowBlank="1" showInputMessage="1" showErrorMessage="1" sqref="E9:H9">
      <formula1>IF(PAK=1,INDIRECT($K$6),INDIRECT($K$7))</formula1>
    </dataValidation>
    <dataValidation type="decimal" allowBlank="1" showInputMessage="1" showErrorMessage="1" sqref="H12">
      <formula1>0.7</formula1>
      <formula2>1</formula2>
    </dataValidation>
    <dataValidation type="decimal" allowBlank="1" showInputMessage="1" showErrorMessage="1" sqref="H13">
      <formula1>1</formula1>
      <formula2>2</formula2>
    </dataValidation>
    <dataValidation type="whole" operator="greaterThan" allowBlank="1" showInputMessage="1" showErrorMessage="1" sqref="H7">
      <formula1>H6-1</formula1>
    </dataValidation>
    <dataValidation type="whole" operator="greaterThan" showInputMessage="1" showErrorMessage="1" sqref="H4">
      <formula1>0</formula1>
    </dataValidation>
    <dataValidation type="decimal" showInputMessage="1" showErrorMessage="1" sqref="H10">
      <formula1>1</formula1>
      <formula2>2</formula2>
    </dataValidation>
    <dataValidation type="decimal" operator="greaterThan" showInputMessage="1" showErrorMessage="1" sqref="E16">
      <formula1>-1000</formula1>
    </dataValidation>
    <dataValidation type="decimal" operator="greaterThan" showInputMessage="1" showErrorMessage="1" sqref="E17">
      <formula1>-1000000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Konstante!$E$28:$E$29</xm:f>
          </x14:formula1>
          <xm:sqref>E13</xm:sqref>
        </x14:dataValidation>
        <x14:dataValidation type="list" allowBlank="1" showInputMessage="1" showErrorMessage="1">
          <x14:formula1>
            <xm:f>Konstante!$C$28:$C$29</xm:f>
          </x14:formula1>
          <xm:sqref>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F4" sqref="F4:H4"/>
    </sheetView>
  </sheetViews>
  <sheetFormatPr baseColWidth="10" defaultRowHeight="15" x14ac:dyDescent="0.25"/>
  <cols>
    <col min="1" max="1" width="4" style="425" customWidth="1"/>
    <col min="2" max="2" width="6.7109375" style="425" customWidth="1"/>
    <col min="3" max="8" width="12.7109375" style="425" customWidth="1"/>
    <col min="9" max="9" width="6.85546875" style="425" customWidth="1"/>
    <col min="10" max="16384" width="11.42578125" style="425"/>
  </cols>
  <sheetData>
    <row r="1" spans="1:16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CELL("ZEILE",B27)</f>
        <v>27</v>
      </c>
    </row>
    <row r="2" spans="1:16" ht="23.25" x14ac:dyDescent="0.25">
      <c r="A2" s="975"/>
      <c r="B2" s="475"/>
      <c r="C2" s="476" t="s">
        <v>36</v>
      </c>
      <c r="D2" s="995" t="s">
        <v>343</v>
      </c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CELL("ZEILE",G60)</f>
        <v>60</v>
      </c>
    </row>
    <row r="3" spans="1:16" ht="23.25" x14ac:dyDescent="0.25">
      <c r="A3" s="975"/>
      <c r="B3" s="475"/>
      <c r="C3" s="476"/>
      <c r="D3" s="495"/>
      <c r="E3" s="496"/>
      <c r="F3" s="496"/>
      <c r="G3" s="496"/>
      <c r="H3" s="497"/>
      <c r="I3" s="474"/>
      <c r="K3" s="268" t="s">
        <v>794</v>
      </c>
      <c r="L3" s="236"/>
      <c r="M3" s="236"/>
      <c r="N3" s="268">
        <f>F19</f>
        <v>0</v>
      </c>
    </row>
    <row r="4" spans="1:16" ht="15.75" x14ac:dyDescent="0.25">
      <c r="A4" s="975"/>
      <c r="B4" s="475"/>
      <c r="C4" s="476" t="s">
        <v>342</v>
      </c>
      <c r="D4" s="476"/>
      <c r="E4" s="478"/>
      <c r="F4" s="1002" t="s">
        <v>341</v>
      </c>
      <c r="G4" s="1003"/>
      <c r="H4" s="1004"/>
      <c r="I4" s="474"/>
    </row>
    <row r="5" spans="1:16" ht="15.75" x14ac:dyDescent="0.25">
      <c r="A5" s="975"/>
      <c r="B5" s="475"/>
      <c r="C5" s="483" t="s">
        <v>340</v>
      </c>
      <c r="D5" s="481"/>
      <c r="E5" s="481"/>
      <c r="F5" s="482"/>
      <c r="G5" s="478"/>
      <c r="H5" s="514" t="str">
        <f>IF(Art=Konstante!X30,Konstante!AA30,Konstante!AA31)</f>
        <v>L=(30mm/km) H=(35mm/km)</v>
      </c>
      <c r="I5" s="474"/>
    </row>
    <row r="6" spans="1:16" ht="15.75" x14ac:dyDescent="0.25">
      <c r="A6" s="975"/>
      <c r="B6" s="475"/>
      <c r="C6" s="476"/>
      <c r="D6" s="476"/>
      <c r="E6" s="482"/>
      <c r="F6" s="482"/>
      <c r="G6" s="478"/>
      <c r="H6" s="510"/>
      <c r="I6" s="474"/>
    </row>
    <row r="7" spans="1:16" ht="15.75" x14ac:dyDescent="0.25">
      <c r="A7" s="975"/>
      <c r="B7" s="475"/>
      <c r="C7" s="516" t="s">
        <v>298</v>
      </c>
      <c r="D7" s="482"/>
      <c r="E7" s="482"/>
      <c r="F7" s="482"/>
      <c r="G7" s="482"/>
      <c r="H7" s="482"/>
      <c r="I7" s="474"/>
    </row>
    <row r="8" spans="1:16" ht="15.75" x14ac:dyDescent="0.25">
      <c r="A8" s="975"/>
      <c r="B8" s="475"/>
      <c r="C8" s="1005" t="s">
        <v>339</v>
      </c>
      <c r="D8" s="1006"/>
      <c r="E8" s="1006"/>
      <c r="F8" s="1006"/>
      <c r="G8" s="1006"/>
      <c r="H8" s="1007"/>
      <c r="I8" s="474"/>
      <c r="K8" s="513"/>
      <c r="L8" s="513"/>
      <c r="N8" s="513"/>
      <c r="O8" s="513"/>
      <c r="P8" s="513"/>
    </row>
    <row r="9" spans="1:16" ht="15.75" x14ac:dyDescent="0.25">
      <c r="A9" s="975"/>
      <c r="B9" s="475"/>
      <c r="C9" s="482"/>
      <c r="D9" s="482"/>
      <c r="E9" s="482"/>
      <c r="F9" s="482"/>
      <c r="G9" s="482"/>
      <c r="H9" s="482"/>
      <c r="I9" s="474"/>
      <c r="K9" s="513"/>
      <c r="L9" s="513"/>
      <c r="M9" s="513"/>
      <c r="N9" s="513"/>
      <c r="O9" s="513"/>
      <c r="P9" s="513"/>
    </row>
    <row r="10" spans="1:16" ht="15.75" x14ac:dyDescent="0.25">
      <c r="A10" s="975"/>
      <c r="B10" s="475"/>
      <c r="C10" s="476" t="s">
        <v>338</v>
      </c>
      <c r="D10" s="482"/>
      <c r="E10" s="482"/>
      <c r="F10" s="482"/>
      <c r="G10" s="482"/>
      <c r="H10" s="515"/>
      <c r="I10" s="474"/>
      <c r="K10" s="513" t="s">
        <v>337</v>
      </c>
      <c r="L10" s="513"/>
      <c r="M10" s="517">
        <f>VLOOKUP(Art,Konstante!X30:Z31,3,FALSE)+VLOOKUP(C8,Konstante!X23:AG26,10,FALSE)</f>
        <v>6</v>
      </c>
      <c r="N10" s="513"/>
      <c r="O10" s="513"/>
      <c r="P10" s="513"/>
    </row>
    <row r="11" spans="1:16" ht="15.75" x14ac:dyDescent="0.25">
      <c r="A11" s="975"/>
      <c r="B11" s="475"/>
      <c r="C11" s="476"/>
      <c r="D11" s="476"/>
      <c r="E11" s="482"/>
      <c r="F11" s="482"/>
      <c r="G11" s="478"/>
      <c r="H11" s="510"/>
      <c r="I11" s="474"/>
      <c r="K11" s="513"/>
      <c r="L11" s="513"/>
      <c r="M11" s="513"/>
      <c r="N11" s="513"/>
      <c r="O11" s="513"/>
      <c r="P11" s="513"/>
    </row>
    <row r="12" spans="1:16" ht="15.75" x14ac:dyDescent="0.25">
      <c r="A12" s="975"/>
      <c r="B12" s="475"/>
      <c r="C12" s="476" t="s">
        <v>336</v>
      </c>
      <c r="D12" s="476"/>
      <c r="E12" s="480"/>
      <c r="F12" s="480"/>
      <c r="G12" s="480"/>
      <c r="H12" s="508"/>
      <c r="I12" s="475"/>
      <c r="K12" s="513" t="s">
        <v>335</v>
      </c>
      <c r="L12" s="513"/>
      <c r="M12" s="518">
        <f>VLOOKUP(M$10,Konstante!AG$23:AQ$31,8,FALSE)</f>
        <v>1.228</v>
      </c>
      <c r="N12" s="513"/>
      <c r="O12" s="513"/>
      <c r="P12" s="513"/>
    </row>
    <row r="13" spans="1:16" ht="15.75" x14ac:dyDescent="0.25">
      <c r="A13" s="975"/>
      <c r="B13" s="474"/>
      <c r="C13" s="476"/>
      <c r="D13" s="476"/>
      <c r="E13" s="482"/>
      <c r="F13" s="482"/>
      <c r="G13" s="478"/>
      <c r="H13" s="510"/>
      <c r="I13" s="475"/>
      <c r="K13" s="513" t="s">
        <v>334</v>
      </c>
      <c r="L13" s="513"/>
      <c r="M13" s="518">
        <f>VLOOKUP(M$10,Konstante!AG$23:AQ$31,9,FALSE)</f>
        <v>1.173</v>
      </c>
      <c r="N13" s="513"/>
      <c r="O13" s="513"/>
      <c r="P13" s="513"/>
    </row>
    <row r="14" spans="1:16" ht="15.75" x14ac:dyDescent="0.25">
      <c r="A14" s="975"/>
      <c r="B14" s="475"/>
      <c r="C14" s="476" t="s">
        <v>333</v>
      </c>
      <c r="D14" s="476"/>
      <c r="E14" s="480"/>
      <c r="F14" s="480"/>
      <c r="G14" s="480"/>
      <c r="H14" s="508" t="s">
        <v>20</v>
      </c>
      <c r="I14" s="476"/>
      <c r="K14" s="513" t="s">
        <v>332</v>
      </c>
      <c r="L14" s="513"/>
      <c r="M14" s="518">
        <f>VLOOKUP(M$10,Konstante!AG$23:AQ$31,10,FALSE)</f>
        <v>5.8000000000000003E-2</v>
      </c>
      <c r="N14" s="513"/>
      <c r="O14" s="513"/>
      <c r="P14" s="513"/>
    </row>
    <row r="15" spans="1:16" ht="15.75" x14ac:dyDescent="0.25">
      <c r="A15" s="975"/>
      <c r="B15" s="475"/>
      <c r="C15" s="486"/>
      <c r="D15" s="487"/>
      <c r="E15" s="486"/>
      <c r="F15" s="488"/>
      <c r="G15" s="712" t="s">
        <v>717</v>
      </c>
      <c r="H15" s="488"/>
      <c r="I15" s="476"/>
      <c r="K15" s="513" t="s">
        <v>331</v>
      </c>
      <c r="L15" s="513"/>
      <c r="M15" s="518">
        <f>VLOOKUP(M$10,Konstante!AG$23:AQ$31,11,FALSE)</f>
        <v>0.63900000000000001</v>
      </c>
      <c r="N15" s="513"/>
      <c r="O15" s="513"/>
      <c r="P15" s="513"/>
    </row>
    <row r="16" spans="1:16" ht="15.75" x14ac:dyDescent="0.25">
      <c r="A16" s="975"/>
      <c r="B16" s="475"/>
      <c r="C16" s="476" t="s">
        <v>34</v>
      </c>
      <c r="D16" s="476"/>
      <c r="E16" s="489"/>
      <c r="F16" s="476"/>
      <c r="G16" s="1000"/>
      <c r="H16" s="1001"/>
      <c r="I16" s="476"/>
      <c r="K16" s="513"/>
      <c r="L16" s="513"/>
      <c r="M16" s="513"/>
      <c r="N16" s="513"/>
      <c r="O16" s="513"/>
      <c r="P16" s="513"/>
    </row>
    <row r="17" spans="1:9" ht="15.75" x14ac:dyDescent="0.25">
      <c r="A17" s="975"/>
      <c r="B17" s="475"/>
      <c r="C17" s="476" t="s">
        <v>1</v>
      </c>
      <c r="D17" s="476"/>
      <c r="E17" s="490"/>
      <c r="F17" s="476"/>
      <c r="G17" s="998"/>
      <c r="H17" s="998"/>
      <c r="I17" s="476"/>
    </row>
    <row r="18" spans="1:9" ht="15.75" x14ac:dyDescent="0.25">
      <c r="A18" s="975"/>
      <c r="B18" s="475"/>
      <c r="C18" s="476"/>
      <c r="D18" s="476"/>
      <c r="E18" s="491"/>
      <c r="F18" s="476"/>
      <c r="G18" s="475"/>
      <c r="H18" s="475"/>
      <c r="I18" s="474"/>
    </row>
    <row r="19" spans="1:9" ht="21" x14ac:dyDescent="0.35">
      <c r="A19" s="975"/>
      <c r="B19" s="474"/>
      <c r="C19" s="492" t="str">
        <f>IF(VSK=0, "UNVOLLSTÄNDIG AUSGEFÜLLT!","")</f>
        <v>UNVOLLSTÄNDIG AUSGEFÜLLT!</v>
      </c>
      <c r="D19" s="474"/>
      <c r="E19" s="474"/>
      <c r="F19" s="687">
        <f>IF(AND(ISNUMBER(S_),ISNUMBER(n)),1,0)</f>
        <v>0</v>
      </c>
      <c r="G19" s="999" t="str">
        <f>IF(VSK&lt;&gt;0, G60,"")</f>
        <v/>
      </c>
      <c r="H19" s="999"/>
      <c r="I19" s="474"/>
    </row>
    <row r="20" spans="1:9" ht="15.75" x14ac:dyDescent="0.25">
      <c r="A20" s="975"/>
      <c r="B20" s="474"/>
      <c r="C20" s="474"/>
      <c r="D20" s="474"/>
      <c r="E20" s="474"/>
      <c r="F20" s="474"/>
      <c r="G20" s="474"/>
      <c r="H20" s="474"/>
      <c r="I20" s="474"/>
    </row>
    <row r="21" spans="1:9" ht="15" customHeight="1" x14ac:dyDescent="0.25">
      <c r="A21" s="973" t="s">
        <v>72</v>
      </c>
    </row>
    <row r="22" spans="1:9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9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9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9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9" x14ac:dyDescent="0.25">
      <c r="A26" s="973"/>
    </row>
    <row r="27" spans="1:9" ht="18.75" x14ac:dyDescent="0.25">
      <c r="A27" s="973"/>
      <c r="B27" s="968" t="str">
        <f>D2</f>
        <v>POLYGONZUG</v>
      </c>
      <c r="C27" s="968"/>
      <c r="D27" s="968"/>
      <c r="E27" s="968"/>
      <c r="F27" s="968"/>
      <c r="G27" s="968"/>
      <c r="H27" s="968"/>
      <c r="I27" s="968"/>
    </row>
    <row r="28" spans="1:9" x14ac:dyDescent="0.25">
      <c r="A28" s="973"/>
    </row>
    <row r="29" spans="1:9" x14ac:dyDescent="0.25">
      <c r="A29" s="973"/>
      <c r="C29" s="425" t="str">
        <f>IF(Art=Konstante!X30,"LB_VG, Pos. 4.1.3, Bearbeitungsaufwand von Polygonzüge","LB_VG, Pos. 4.1.4, Bearbeitungsaufwand von Polygonzüge")</f>
        <v>LB_VG, Pos. 4.1.4, Bearbeitungsaufwand von Polygonzüge</v>
      </c>
    </row>
    <row r="30" spans="1:9" x14ac:dyDescent="0.25">
      <c r="A30" s="973"/>
    </row>
    <row r="31" spans="1:9" ht="15.75" x14ac:dyDescent="0.25">
      <c r="A31" s="973"/>
      <c r="C31" s="433" t="str">
        <f>Art</f>
        <v>Technischer Polygonzug</v>
      </c>
    </row>
    <row r="32" spans="1:9" x14ac:dyDescent="0.25">
      <c r="A32" s="973"/>
      <c r="C32" s="425" t="str">
        <f>CONCATENATE("Standardabweichung: ",H5)</f>
        <v>Standardabweichung: L=(30mm/km) H=(35mm/km)</v>
      </c>
    </row>
    <row r="33" spans="1:9" x14ac:dyDescent="0.25">
      <c r="A33" s="973"/>
      <c r="C33" s="444" t="str">
        <f>C8</f>
        <v>ohne Punktbeschreibung und ohne Polygonzugsübersicht, ohne Höhenmessung</v>
      </c>
    </row>
    <row r="34" spans="1:9" x14ac:dyDescent="0.25">
      <c r="A34" s="973"/>
    </row>
    <row r="35" spans="1:9" x14ac:dyDescent="0.25">
      <c r="A35" s="973"/>
      <c r="C35" s="425" t="s">
        <v>46</v>
      </c>
      <c r="E35" s="170">
        <f>Gesamt!E14</f>
        <v>79.08</v>
      </c>
    </row>
    <row r="36" spans="1:9" x14ac:dyDescent="0.25">
      <c r="A36" s="973"/>
      <c r="B36" s="437"/>
    </row>
    <row r="37" spans="1:9" x14ac:dyDescent="0.25">
      <c r="A37" s="973"/>
      <c r="B37" s="437"/>
      <c r="C37" s="519" t="str">
        <f>VLOOKUP(M10,Konstante!AG23:AM31,2,FALSE)</f>
        <v>H = ((1,228 * S + 1,173 * n) * f + 0,058 * n + 0,639) * Potenz(S/(n/7);0,2) * IS + N</v>
      </c>
    </row>
    <row r="38" spans="1:9" x14ac:dyDescent="0.25">
      <c r="A38" s="973"/>
    </row>
    <row r="39" spans="1:9" x14ac:dyDescent="0.25">
      <c r="A39" s="973"/>
    </row>
    <row r="40" spans="1:9" x14ac:dyDescent="0.25">
      <c r="A40" s="973"/>
      <c r="C40" s="425" t="s">
        <v>330</v>
      </c>
      <c r="D40" s="435">
        <f>S_</f>
        <v>0</v>
      </c>
      <c r="E40" s="425" t="s">
        <v>329</v>
      </c>
    </row>
    <row r="41" spans="1:9" x14ac:dyDescent="0.25">
      <c r="A41" s="973"/>
      <c r="C41" s="425" t="s">
        <v>306</v>
      </c>
      <c r="D41" s="426">
        <f>n</f>
        <v>0</v>
      </c>
      <c r="E41" s="425" t="s">
        <v>328</v>
      </c>
    </row>
    <row r="42" spans="1:9" x14ac:dyDescent="0.25">
      <c r="A42" s="973"/>
      <c r="C42" s="425" t="s">
        <v>327</v>
      </c>
      <c r="D42" s="426">
        <f>VLOOKUP(f,Konstante!AE23:AF31,2,FALSE)</f>
        <v>1.1499999999999999</v>
      </c>
      <c r="E42" s="425" t="str">
        <f>CONCATENATE(f," - Geländeklasse und Schwierigkeitsstufe")</f>
        <v>Ib - Geländeklasse und Schwierigkeitsstufe</v>
      </c>
    </row>
    <row r="43" spans="1:9" x14ac:dyDescent="0.25">
      <c r="A43" s="973"/>
    </row>
    <row r="44" spans="1:9" x14ac:dyDescent="0.25">
      <c r="A44" s="973"/>
    </row>
    <row r="45" spans="1:9" x14ac:dyDescent="0.25">
      <c r="A45" s="973"/>
      <c r="C45" s="428" t="s">
        <v>64</v>
      </c>
      <c r="D45" s="428"/>
      <c r="E45" s="428"/>
      <c r="F45" s="467">
        <f>IF(VSK&lt;&gt;0,((M12*S_+M13*n)*VLOOKUP(f,Konstante!AE23:AF31,2,FALSE)+M14*n+M15)*POWER(S_/(n/7),0.2)*IS,0)</f>
        <v>0</v>
      </c>
      <c r="G45" s="428"/>
      <c r="H45" s="428"/>
      <c r="I45" s="428"/>
    </row>
    <row r="46" spans="1:9" x14ac:dyDescent="0.25">
      <c r="A46" s="973"/>
      <c r="F46" s="436"/>
    </row>
    <row r="47" spans="1:9" x14ac:dyDescent="0.25">
      <c r="A47" s="973"/>
    </row>
    <row r="48" spans="1:9" x14ac:dyDescent="0.25">
      <c r="A48" s="973"/>
    </row>
    <row r="49" spans="1:9" x14ac:dyDescent="0.25">
      <c r="A49" s="973"/>
    </row>
    <row r="50" spans="1:9" x14ac:dyDescent="0.25">
      <c r="A50" s="973"/>
    </row>
    <row r="51" spans="1:9" x14ac:dyDescent="0.25">
      <c r="A51" s="973"/>
    </row>
    <row r="52" spans="1:9" x14ac:dyDescent="0.25">
      <c r="A52" s="973"/>
    </row>
    <row r="53" spans="1:9" x14ac:dyDescent="0.25">
      <c r="A53" s="973"/>
    </row>
    <row r="54" spans="1:9" x14ac:dyDescent="0.25">
      <c r="A54" s="973"/>
    </row>
    <row r="55" spans="1:9" x14ac:dyDescent="0.25">
      <c r="A55" s="973"/>
    </row>
    <row r="56" spans="1:9" x14ac:dyDescent="0.25">
      <c r="A56" s="973"/>
      <c r="C56" s="425" t="str">
        <f>IF(AND(ZuAbschlag&lt;&gt;0,VSK&lt;&gt;0),"Zu-/Abschlag:","")</f>
        <v/>
      </c>
      <c r="E56" s="444" t="str">
        <f>IF(AND(ZuAbschlag&lt;&gt;0,VSK&lt;&gt;0),ZuAbschlag,"")</f>
        <v/>
      </c>
      <c r="F56" s="446" t="str">
        <f>IF(AND(ZuAbschlag&lt;&gt;0,VSK&lt;&gt;0),F45*E56,"")</f>
        <v/>
      </c>
      <c r="G56" s="426" t="str">
        <f>IF(AND(ZuAbschlag&lt;&gt;0,VSK&lt;&gt;0,G16&lt;&gt;""),G16,"")</f>
        <v/>
      </c>
    </row>
    <row r="57" spans="1:9" x14ac:dyDescent="0.25">
      <c r="A57" s="973"/>
      <c r="B57" s="428"/>
      <c r="C57" s="425" t="str">
        <f>IF(AND(NK&lt;&gt;0,VSK&lt;&gt;0),"Nebenkosten:","")</f>
        <v/>
      </c>
      <c r="F57" s="446" t="str">
        <f>IF(AND(NK&lt;&gt;0,VSK&lt;&gt;0),NK,"")</f>
        <v/>
      </c>
      <c r="G57" s="426" t="str">
        <f>IF(AND(NK&lt;&gt;0,VSK&lt;&gt;0,G17&lt;&gt;""),G17,"")</f>
        <v/>
      </c>
    </row>
    <row r="58" spans="1:9" x14ac:dyDescent="0.25">
      <c r="A58" s="973"/>
      <c r="C58" s="108"/>
      <c r="D58" s="108"/>
      <c r="E58" s="108"/>
      <c r="F58" s="108"/>
      <c r="G58" s="108"/>
      <c r="H58" s="108"/>
    </row>
    <row r="59" spans="1:9" ht="15.75" x14ac:dyDescent="0.25">
      <c r="A59" s="973"/>
      <c r="I59" s="445"/>
    </row>
    <row r="60" spans="1:9" ht="15.75" x14ac:dyDescent="0.25">
      <c r="A60" s="973"/>
      <c r="C60" s="445" t="s">
        <v>71</v>
      </c>
      <c r="D60" s="445"/>
      <c r="E60" s="445"/>
      <c r="F60" s="445"/>
      <c r="G60" s="967">
        <f>IF(VSK&gt;0,SUM(F45,F56,F57),0)</f>
        <v>0</v>
      </c>
      <c r="H60" s="967"/>
    </row>
    <row r="61" spans="1:9" x14ac:dyDescent="0.25">
      <c r="A61" s="973"/>
    </row>
    <row r="62" spans="1:9" x14ac:dyDescent="0.25">
      <c r="A62" s="973"/>
    </row>
    <row r="63" spans="1:9" x14ac:dyDescent="0.25">
      <c r="A63" s="973"/>
    </row>
    <row r="64" spans="1:9" x14ac:dyDescent="0.25">
      <c r="A64" s="973"/>
    </row>
    <row r="65" spans="1:1" x14ac:dyDescent="0.25">
      <c r="A65" s="973"/>
    </row>
    <row r="66" spans="1:1" x14ac:dyDescent="0.25">
      <c r="A66" s="973"/>
    </row>
    <row r="67" spans="1:1" x14ac:dyDescent="0.25">
      <c r="A67" s="973"/>
    </row>
    <row r="68" spans="1:1" x14ac:dyDescent="0.25">
      <c r="A68" s="973"/>
    </row>
    <row r="69" spans="1:1" x14ac:dyDescent="0.25">
      <c r="A69" s="973"/>
    </row>
  </sheetData>
  <mergeCells count="14">
    <mergeCell ref="A21:A69"/>
    <mergeCell ref="B22:I22"/>
    <mergeCell ref="B23:I23"/>
    <mergeCell ref="B24:I24"/>
    <mergeCell ref="B25:I25"/>
    <mergeCell ref="B27:I27"/>
    <mergeCell ref="G60:H60"/>
    <mergeCell ref="A1:A20"/>
    <mergeCell ref="D2:H2"/>
    <mergeCell ref="F4:H4"/>
    <mergeCell ref="C8:H8"/>
    <mergeCell ref="G16:H16"/>
    <mergeCell ref="G17:H17"/>
    <mergeCell ref="G19:H19"/>
  </mergeCells>
  <dataValidations count="4">
    <dataValidation type="decimal" operator="greaterThan" allowBlank="1" showInputMessage="1" showErrorMessage="1" error="Polygonzug muss  mindestens 0,01 km lang sein!" sqref="H10">
      <formula1>0.005</formula1>
    </dataValidation>
    <dataValidation type="whole" operator="greaterThan" allowBlank="1" showInputMessage="1" showErrorMessage="1" error="muss größer 0 sein!" sqref="H12">
      <formula1>0</formula1>
    </dataValidation>
    <dataValidation type="decimal" operator="greaterThan" showInputMessage="1" showErrorMessage="1" sqref="E16">
      <formula1>-1000</formula1>
    </dataValidation>
    <dataValidation type="decimal" operator="greaterThan" allowBlank="1" showInputMessage="1" showErrorMessage="1" sqref="E17">
      <formula1>-1000000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Konstante!$AE$23:$AE$31</xm:f>
          </x14:formula1>
          <xm:sqref>H14</xm:sqref>
        </x14:dataValidation>
        <x14:dataValidation type="list" showInputMessage="1" showErrorMessage="1">
          <x14:formula1>
            <xm:f>Konstante!$X$23:$X$26</xm:f>
          </x14:formula1>
          <xm:sqref>C8:H8</xm:sqref>
        </x14:dataValidation>
        <x14:dataValidation type="list" allowBlank="1" showInputMessage="1" showErrorMessage="1">
          <x14:formula1>
            <xm:f>Konstante!$X$30:$X$31</xm:f>
          </x14:formula1>
          <xm:sqref>F4:H4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C5" sqref="C5:H5"/>
    </sheetView>
  </sheetViews>
  <sheetFormatPr baseColWidth="10" defaultRowHeight="15" x14ac:dyDescent="0.25"/>
  <cols>
    <col min="1" max="1" width="4" style="425" customWidth="1"/>
    <col min="2" max="2" width="6.7109375" style="425" customWidth="1"/>
    <col min="3" max="8" width="12.7109375" style="425" customWidth="1"/>
    <col min="9" max="9" width="5.7109375" style="425" customWidth="1"/>
    <col min="10" max="16384" width="11.42578125" style="425"/>
  </cols>
  <sheetData>
    <row r="1" spans="1:16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CELL("ZEILE",B27)</f>
        <v>27</v>
      </c>
    </row>
    <row r="2" spans="1:16" ht="23.25" x14ac:dyDescent="0.25">
      <c r="A2" s="975"/>
      <c r="B2" s="475"/>
      <c r="C2" s="476" t="s">
        <v>36</v>
      </c>
      <c r="D2" s="995" t="s">
        <v>349</v>
      </c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CELL("ZEILE",G60)</f>
        <v>60</v>
      </c>
    </row>
    <row r="3" spans="1:16" ht="23.25" x14ac:dyDescent="0.25">
      <c r="A3" s="975"/>
      <c r="B3" s="475"/>
      <c r="C3" s="476"/>
      <c r="D3" s="495"/>
      <c r="E3" s="496"/>
      <c r="F3" s="496"/>
      <c r="G3" s="496"/>
      <c r="H3" s="497"/>
      <c r="I3" s="474"/>
      <c r="K3" s="268" t="s">
        <v>794</v>
      </c>
      <c r="L3" s="236"/>
      <c r="M3" s="236"/>
      <c r="N3" s="268">
        <f>F19</f>
        <v>0</v>
      </c>
    </row>
    <row r="4" spans="1:16" ht="15.75" x14ac:dyDescent="0.25">
      <c r="A4" s="975"/>
      <c r="B4" s="475"/>
      <c r="C4" s="516" t="s">
        <v>298</v>
      </c>
      <c r="D4" s="482"/>
      <c r="E4" s="482"/>
      <c r="F4" s="482"/>
      <c r="G4" s="482"/>
      <c r="H4" s="482"/>
      <c r="I4" s="474"/>
    </row>
    <row r="5" spans="1:16" ht="15.75" x14ac:dyDescent="0.25">
      <c r="A5" s="975"/>
      <c r="B5" s="475"/>
      <c r="C5" s="1005" t="s">
        <v>348</v>
      </c>
      <c r="D5" s="1006"/>
      <c r="E5" s="1006"/>
      <c r="F5" s="1006"/>
      <c r="G5" s="1006"/>
      <c r="H5" s="1007"/>
      <c r="I5" s="474"/>
    </row>
    <row r="6" spans="1:16" ht="15.75" x14ac:dyDescent="0.25">
      <c r="A6" s="975"/>
      <c r="B6" s="475"/>
      <c r="C6" s="482"/>
      <c r="D6" s="482"/>
      <c r="E6" s="482"/>
      <c r="F6" s="482"/>
      <c r="G6" s="482"/>
      <c r="H6" s="482"/>
      <c r="I6" s="474"/>
    </row>
    <row r="7" spans="1:16" ht="15.75" x14ac:dyDescent="0.25">
      <c r="A7" s="975"/>
      <c r="B7" s="475"/>
      <c r="C7" s="476" t="s">
        <v>347</v>
      </c>
      <c r="D7" s="482"/>
      <c r="E7" s="482"/>
      <c r="F7" s="482"/>
      <c r="G7" s="482"/>
      <c r="H7" s="515"/>
      <c r="I7" s="474"/>
    </row>
    <row r="8" spans="1:16" ht="15.75" x14ac:dyDescent="0.25">
      <c r="A8" s="975"/>
      <c r="B8" s="475"/>
      <c r="C8" s="476"/>
      <c r="D8" s="476"/>
      <c r="E8" s="482"/>
      <c r="F8" s="482"/>
      <c r="G8" s="478"/>
      <c r="H8" s="510"/>
      <c r="I8" s="474"/>
      <c r="K8" s="513"/>
      <c r="L8" s="513"/>
      <c r="N8" s="513"/>
      <c r="O8" s="513"/>
      <c r="P8" s="513"/>
    </row>
    <row r="9" spans="1:16" ht="15.75" x14ac:dyDescent="0.25">
      <c r="A9" s="975"/>
      <c r="B9" s="475"/>
      <c r="C9" s="476" t="s">
        <v>333</v>
      </c>
      <c r="D9" s="476"/>
      <c r="E9" s="480"/>
      <c r="F9" s="480"/>
      <c r="G9" s="480"/>
      <c r="H9" s="508" t="s">
        <v>17</v>
      </c>
      <c r="I9" s="474"/>
      <c r="K9" s="513"/>
      <c r="L9" s="513"/>
      <c r="M9" s="513"/>
      <c r="N9" s="513"/>
      <c r="O9" s="513"/>
      <c r="P9" s="513"/>
    </row>
    <row r="10" spans="1:16" ht="15.75" x14ac:dyDescent="0.25">
      <c r="A10" s="975"/>
      <c r="B10" s="475"/>
      <c r="C10" s="476"/>
      <c r="D10" s="476"/>
      <c r="E10" s="482"/>
      <c r="F10" s="482"/>
      <c r="G10" s="478"/>
      <c r="H10" s="510"/>
      <c r="I10" s="474"/>
      <c r="K10" s="513"/>
      <c r="L10" s="513"/>
      <c r="M10" s="517"/>
      <c r="N10" s="513"/>
      <c r="O10" s="513"/>
      <c r="P10" s="513"/>
    </row>
    <row r="11" spans="1:16" ht="15.75" x14ac:dyDescent="0.25">
      <c r="A11" s="975"/>
      <c r="B11" s="475"/>
      <c r="C11" s="476" t="s">
        <v>346</v>
      </c>
      <c r="D11" s="476"/>
      <c r="E11" s="480"/>
      <c r="F11" s="480"/>
      <c r="G11" s="480"/>
      <c r="H11" s="511">
        <v>1</v>
      </c>
      <c r="I11" s="474"/>
      <c r="K11" s="513"/>
      <c r="L11" s="513"/>
      <c r="M11" s="513"/>
      <c r="N11" s="513"/>
      <c r="O11" s="513"/>
      <c r="P11" s="513"/>
    </row>
    <row r="12" spans="1:16" ht="15.75" x14ac:dyDescent="0.25">
      <c r="A12" s="975"/>
      <c r="B12" s="475"/>
      <c r="C12" s="486"/>
      <c r="D12" s="486"/>
      <c r="E12" s="486"/>
      <c r="F12" s="486"/>
      <c r="G12" s="486"/>
      <c r="H12" s="486" t="str">
        <f>IF(G=1, "Standardabweichung: L=(10mm+20mm/km), H=(18mm+20mm/km)",IF(G&gt;1,"Standardabweichung besser L=(10mm+20mm/km), H=(18mm+20mm/km","Standardabweichung schlechter L=(10mm+20mm/km), H=(18mm+20mm/km"))</f>
        <v>Standardabweichung: L=(10mm+20mm/km), H=(18mm+20mm/km)</v>
      </c>
      <c r="I12" s="475"/>
      <c r="K12" s="513"/>
      <c r="L12" s="513"/>
      <c r="M12" s="518"/>
      <c r="N12" s="513"/>
      <c r="O12" s="513"/>
      <c r="P12" s="513"/>
    </row>
    <row r="13" spans="1:16" ht="15.75" x14ac:dyDescent="0.25">
      <c r="A13" s="975"/>
      <c r="B13" s="474"/>
      <c r="C13" s="486"/>
      <c r="D13" s="486"/>
      <c r="E13" s="486"/>
      <c r="F13" s="486"/>
      <c r="G13" s="486"/>
      <c r="H13" s="486"/>
      <c r="I13" s="475"/>
      <c r="K13" s="513" t="s">
        <v>334</v>
      </c>
      <c r="L13" s="513"/>
      <c r="M13" s="518">
        <f>VLOOKUP($C$5,Konstante!AT$23:BG$26,12,FALSE)</f>
        <v>1.4159999999999999</v>
      </c>
      <c r="N13" s="513"/>
      <c r="O13" s="513"/>
      <c r="P13" s="513"/>
    </row>
    <row r="14" spans="1:16" ht="15.75" x14ac:dyDescent="0.25">
      <c r="A14" s="975"/>
      <c r="B14" s="475"/>
      <c r="C14" s="486"/>
      <c r="D14" s="486"/>
      <c r="E14" s="486"/>
      <c r="F14" s="486"/>
      <c r="G14" s="486"/>
      <c r="H14" s="486"/>
      <c r="I14" s="476"/>
      <c r="K14" s="513" t="s">
        <v>332</v>
      </c>
      <c r="L14" s="513"/>
      <c r="M14" s="518">
        <f>VLOOKUP($C$5,Konstante!AT$23:BG$26,13,FALSE)</f>
        <v>7.8209999999999997</v>
      </c>
      <c r="N14" s="513"/>
      <c r="O14" s="513"/>
      <c r="P14" s="513"/>
    </row>
    <row r="15" spans="1:16" ht="15.75" x14ac:dyDescent="0.25">
      <c r="A15" s="975"/>
      <c r="B15" s="475"/>
      <c r="C15" s="486"/>
      <c r="D15" s="487"/>
      <c r="E15" s="486"/>
      <c r="F15" s="488"/>
      <c r="G15" s="712" t="s">
        <v>717</v>
      </c>
      <c r="H15" s="488"/>
      <c r="I15" s="476"/>
      <c r="K15" s="513" t="s">
        <v>331</v>
      </c>
      <c r="L15" s="513"/>
      <c r="M15" s="518">
        <f>VLOOKUP($C$5,Konstante!AT$23:BG$26,14,FALSE)</f>
        <v>1.1539999999999999</v>
      </c>
      <c r="N15" s="513"/>
      <c r="O15" s="513"/>
      <c r="P15" s="513"/>
    </row>
    <row r="16" spans="1:16" ht="15.75" x14ac:dyDescent="0.25">
      <c r="A16" s="975"/>
      <c r="B16" s="475"/>
      <c r="C16" s="476" t="s">
        <v>34</v>
      </c>
      <c r="D16" s="476"/>
      <c r="E16" s="489"/>
      <c r="F16" s="476"/>
      <c r="G16" s="1000"/>
      <c r="H16" s="1001"/>
      <c r="I16" s="476"/>
      <c r="K16" s="513"/>
      <c r="L16" s="513"/>
      <c r="M16" s="513"/>
      <c r="N16" s="513"/>
      <c r="O16" s="513"/>
      <c r="P16" s="513"/>
    </row>
    <row r="17" spans="1:9" ht="15.75" x14ac:dyDescent="0.25">
      <c r="A17" s="975"/>
      <c r="B17" s="475"/>
      <c r="C17" s="476" t="s">
        <v>1</v>
      </c>
      <c r="D17" s="476"/>
      <c r="E17" s="490"/>
      <c r="F17" s="476"/>
      <c r="G17" s="998"/>
      <c r="H17" s="998"/>
      <c r="I17" s="476"/>
    </row>
    <row r="18" spans="1:9" ht="15.75" x14ac:dyDescent="0.25">
      <c r="A18" s="975"/>
      <c r="B18" s="475"/>
      <c r="C18" s="476"/>
      <c r="D18" s="476"/>
      <c r="E18" s="491"/>
      <c r="F18" s="476"/>
      <c r="G18" s="475"/>
      <c r="H18" s="475"/>
      <c r="I18" s="474"/>
    </row>
    <row r="19" spans="1:9" ht="21" x14ac:dyDescent="0.35">
      <c r="A19" s="975"/>
      <c r="B19" s="474"/>
      <c r="C19" s="492" t="str">
        <f>IF(VSK=0, "UNVOLLSTÄNDIG AUSGEFÜLLT!","")</f>
        <v>UNVOLLSTÄNDIG AUSGEFÜLLT!</v>
      </c>
      <c r="D19" s="474"/>
      <c r="E19" s="474"/>
      <c r="F19" s="687">
        <f>IF(AND(ISNUMBER(S_),ISNUMBER(G)),1,0)</f>
        <v>0</v>
      </c>
      <c r="G19" s="999" t="str">
        <f>IF(VSK&lt;&gt;0, H60,"")</f>
        <v/>
      </c>
      <c r="H19" s="999"/>
      <c r="I19" s="474"/>
    </row>
    <row r="20" spans="1:9" ht="15.75" x14ac:dyDescent="0.25">
      <c r="A20" s="975"/>
      <c r="B20" s="474"/>
      <c r="C20" s="474"/>
      <c r="D20" s="474"/>
      <c r="E20" s="474"/>
      <c r="F20" s="474"/>
      <c r="G20" s="474"/>
      <c r="H20" s="474"/>
      <c r="I20" s="474"/>
    </row>
    <row r="21" spans="1:9" ht="15" customHeight="1" x14ac:dyDescent="0.25">
      <c r="A21" s="973" t="s">
        <v>72</v>
      </c>
    </row>
    <row r="22" spans="1:9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9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9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9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9" x14ac:dyDescent="0.25">
      <c r="A26" s="973"/>
    </row>
    <row r="27" spans="1:9" ht="18.75" x14ac:dyDescent="0.25">
      <c r="A27" s="973"/>
      <c r="B27" s="968" t="str">
        <f>D2</f>
        <v>EINZELPUNKTEINSCHALTUNG</v>
      </c>
      <c r="C27" s="968"/>
      <c r="D27" s="968"/>
      <c r="E27" s="968"/>
      <c r="F27" s="968"/>
      <c r="G27" s="968"/>
      <c r="H27" s="968"/>
      <c r="I27" s="968"/>
    </row>
    <row r="28" spans="1:9" x14ac:dyDescent="0.25">
      <c r="A28" s="973"/>
    </row>
    <row r="29" spans="1:9" x14ac:dyDescent="0.25">
      <c r="A29" s="973"/>
      <c r="C29" s="425" t="s">
        <v>776</v>
      </c>
    </row>
    <row r="30" spans="1:9" x14ac:dyDescent="0.25">
      <c r="A30" s="973"/>
    </row>
    <row r="31" spans="1:9" x14ac:dyDescent="0.25">
      <c r="A31" s="973"/>
      <c r="C31" s="425" t="s">
        <v>46</v>
      </c>
      <c r="E31" s="170">
        <f>Gesamt!E14</f>
        <v>79.08</v>
      </c>
    </row>
    <row r="32" spans="1:9" x14ac:dyDescent="0.25">
      <c r="A32" s="973"/>
      <c r="C32" s="444"/>
    </row>
    <row r="33" spans="1:9" x14ac:dyDescent="0.25">
      <c r="A33" s="973"/>
      <c r="C33" s="519" t="str">
        <f>VLOOKUP($C$5,Konstante!AT$23:BG$26,7,FALSE)</f>
        <v>H = ((2,832 * S + 1,416) * f + 7,821) * G * 1,154 * IS + N</v>
      </c>
    </row>
    <row r="34" spans="1:9" x14ac:dyDescent="0.25">
      <c r="A34" s="973"/>
    </row>
    <row r="35" spans="1:9" x14ac:dyDescent="0.25">
      <c r="A35" s="973"/>
    </row>
    <row r="36" spans="1:9" x14ac:dyDescent="0.25">
      <c r="A36" s="973"/>
      <c r="B36" s="437"/>
    </row>
    <row r="37" spans="1:9" x14ac:dyDescent="0.25">
      <c r="A37" s="973"/>
      <c r="B37" s="437"/>
      <c r="C37" s="425" t="s">
        <v>330</v>
      </c>
      <c r="D37" s="435">
        <f>S_</f>
        <v>0</v>
      </c>
      <c r="E37" s="425" t="s">
        <v>345</v>
      </c>
    </row>
    <row r="38" spans="1:9" x14ac:dyDescent="0.25">
      <c r="A38" s="973"/>
      <c r="C38" s="425" t="s">
        <v>327</v>
      </c>
      <c r="D38" s="426">
        <f>VLOOKUP(f,Konstante!AE23:AF31,2,FALSE)</f>
        <v>1</v>
      </c>
      <c r="E38" s="425" t="str">
        <f>CONCATENATE(f," - Geländeklasse und Schwierigkeitsstufe")</f>
        <v>Ia - Geländeklasse und Schwierigkeitsstufe</v>
      </c>
    </row>
    <row r="39" spans="1:9" x14ac:dyDescent="0.25">
      <c r="A39" s="973"/>
      <c r="C39" s="425" t="s">
        <v>302</v>
      </c>
      <c r="D39" s="512">
        <f>G</f>
        <v>1</v>
      </c>
      <c r="E39" s="425" t="s">
        <v>344</v>
      </c>
    </row>
    <row r="40" spans="1:9" x14ac:dyDescent="0.25">
      <c r="A40" s="973"/>
    </row>
    <row r="41" spans="1:9" x14ac:dyDescent="0.25">
      <c r="A41" s="973"/>
    </row>
    <row r="42" spans="1:9" x14ac:dyDescent="0.25">
      <c r="A42" s="973"/>
    </row>
    <row r="43" spans="1:9" x14ac:dyDescent="0.25">
      <c r="A43" s="973"/>
    </row>
    <row r="44" spans="1:9" x14ac:dyDescent="0.25">
      <c r="A44" s="973"/>
      <c r="C44" s="428" t="s">
        <v>64</v>
      </c>
      <c r="D44" s="428"/>
      <c r="E44" s="428"/>
      <c r="F44" s="467">
        <f>IF(VSK&lt;&gt;0,((2.832 * S_ + M13) * VLOOKUP(f,Konstante!AE23:AF31,2,FALSE) + M14) * G * M15 * IS,0)</f>
        <v>0</v>
      </c>
      <c r="G44" s="428"/>
      <c r="H44" s="428"/>
      <c r="I44" s="428"/>
    </row>
    <row r="45" spans="1:9" x14ac:dyDescent="0.25">
      <c r="A45" s="973"/>
      <c r="F45" s="436"/>
    </row>
    <row r="46" spans="1:9" x14ac:dyDescent="0.25">
      <c r="A46" s="973"/>
    </row>
    <row r="47" spans="1:9" x14ac:dyDescent="0.25">
      <c r="A47" s="973"/>
    </row>
    <row r="48" spans="1:9" x14ac:dyDescent="0.25">
      <c r="A48" s="973"/>
      <c r="B48" s="428"/>
    </row>
    <row r="49" spans="1:9" x14ac:dyDescent="0.25">
      <c r="A49" s="973"/>
    </row>
    <row r="50" spans="1:9" x14ac:dyDescent="0.25">
      <c r="A50" s="973"/>
    </row>
    <row r="51" spans="1:9" x14ac:dyDescent="0.25">
      <c r="A51" s="973"/>
    </row>
    <row r="52" spans="1:9" x14ac:dyDescent="0.25">
      <c r="A52" s="973"/>
    </row>
    <row r="53" spans="1:9" x14ac:dyDescent="0.25">
      <c r="A53" s="973"/>
    </row>
    <row r="54" spans="1:9" x14ac:dyDescent="0.25">
      <c r="A54" s="973"/>
    </row>
    <row r="55" spans="1:9" x14ac:dyDescent="0.25">
      <c r="A55" s="973"/>
    </row>
    <row r="56" spans="1:9" x14ac:dyDescent="0.25">
      <c r="A56" s="973"/>
      <c r="B56" s="428"/>
      <c r="C56" s="425" t="str">
        <f>IF(AND(ZuAbschlag&lt;&gt;0,VSK&lt;&gt;0),"Zu-/Abschlag:","")</f>
        <v/>
      </c>
      <c r="E56" s="444" t="str">
        <f>IF(AND(ZuAbschlag&lt;&gt;0,VSK&lt;&gt;0),ZuAbschlag,"")</f>
        <v/>
      </c>
      <c r="F56" s="446" t="str">
        <f>IF(AND(ZuAbschlag&lt;&gt;0,VSK&lt;&gt;0),F44*E56,"")</f>
        <v/>
      </c>
      <c r="G56" s="426" t="str">
        <f>IF(AND(ZuAbschlag&lt;&gt;0,VSK&lt;&gt;0,G16&lt;&gt;""),G16,"")</f>
        <v/>
      </c>
    </row>
    <row r="57" spans="1:9" x14ac:dyDescent="0.25">
      <c r="A57" s="973"/>
      <c r="C57" s="425" t="str">
        <f>IF(AND(NK&lt;&gt;0,VSK&lt;&gt;0),"Nebenkosten:","")</f>
        <v/>
      </c>
      <c r="F57" s="446" t="str">
        <f>IF(AND(NK&lt;&gt;0,VSK&lt;&gt;0),NK,"")</f>
        <v/>
      </c>
      <c r="G57" s="426" t="str">
        <f>IF(AND(NK&lt;&gt;0,VSK&lt;&gt;0,G17&lt;&gt;""),G17,"")</f>
        <v/>
      </c>
    </row>
    <row r="58" spans="1:9" x14ac:dyDescent="0.25">
      <c r="A58" s="973"/>
      <c r="C58" s="108"/>
      <c r="D58" s="108"/>
      <c r="E58" s="108"/>
      <c r="F58" s="108"/>
      <c r="G58" s="108"/>
      <c r="H58" s="108"/>
    </row>
    <row r="59" spans="1:9" ht="15.75" x14ac:dyDescent="0.25">
      <c r="A59" s="973"/>
      <c r="I59" s="445"/>
    </row>
    <row r="60" spans="1:9" ht="15.75" x14ac:dyDescent="0.25">
      <c r="A60" s="973"/>
      <c r="C60" s="445" t="s">
        <v>71</v>
      </c>
      <c r="D60" s="445"/>
      <c r="E60" s="445"/>
      <c r="F60" s="445"/>
      <c r="G60" s="967">
        <f>IF(VSK&gt;0,SUM(F44,F56,F57),0)</f>
        <v>0</v>
      </c>
      <c r="H60" s="967"/>
    </row>
    <row r="61" spans="1:9" ht="15.75" x14ac:dyDescent="0.25">
      <c r="A61" s="973"/>
      <c r="B61" s="445"/>
    </row>
    <row r="62" spans="1:9" x14ac:dyDescent="0.25">
      <c r="A62" s="973"/>
    </row>
    <row r="63" spans="1:9" x14ac:dyDescent="0.25">
      <c r="A63" s="973"/>
    </row>
    <row r="64" spans="1:9" x14ac:dyDescent="0.25">
      <c r="A64" s="973"/>
    </row>
    <row r="65" spans="1:1" x14ac:dyDescent="0.25">
      <c r="A65" s="973"/>
    </row>
    <row r="66" spans="1:1" x14ac:dyDescent="0.25">
      <c r="A66" s="973"/>
    </row>
    <row r="67" spans="1:1" x14ac:dyDescent="0.25">
      <c r="A67" s="973"/>
    </row>
    <row r="68" spans="1:1" x14ac:dyDescent="0.25">
      <c r="A68" s="973"/>
    </row>
    <row r="69" spans="1:1" x14ac:dyDescent="0.25">
      <c r="A69" s="973"/>
    </row>
  </sheetData>
  <mergeCells count="13">
    <mergeCell ref="B23:I23"/>
    <mergeCell ref="B22:I22"/>
    <mergeCell ref="A21:A69"/>
    <mergeCell ref="A1:A20"/>
    <mergeCell ref="D2:H2"/>
    <mergeCell ref="G17:H17"/>
    <mergeCell ref="G19:H19"/>
    <mergeCell ref="G16:H16"/>
    <mergeCell ref="C5:H5"/>
    <mergeCell ref="B27:I27"/>
    <mergeCell ref="B25:I25"/>
    <mergeCell ref="B24:I24"/>
    <mergeCell ref="G60:H60"/>
  </mergeCells>
  <dataValidations count="4">
    <dataValidation type="decimal" allowBlank="1" showInputMessage="1" showErrorMessage="1" sqref="H11">
      <formula1>0</formula1>
      <formula2>2</formula2>
    </dataValidation>
    <dataValidation type="decimal" operator="greaterThan" allowBlank="1" showInputMessage="1" showErrorMessage="1" error="Polygonzug muss  mindestens 0,01 km lang sein!" sqref="H7">
      <formula1>0.005</formula1>
    </dataValidation>
    <dataValidation type="decimal" operator="greaterThan" showInputMessage="1" showErrorMessage="1" sqref="E16">
      <formula1>-1000</formula1>
    </dataValidation>
    <dataValidation type="decimal" operator="greaterThan" showInputMessage="1" showErrorMessage="1" sqref="E17">
      <formula1>-1000000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Konstante!$AE$23:$AE$31</xm:f>
          </x14:formula1>
          <xm:sqref>H9</xm:sqref>
        </x14:dataValidation>
        <x14:dataValidation type="list" allowBlank="1" showInputMessage="1" showErrorMessage="1">
          <x14:formula1>
            <xm:f>Konstante!$AT$23:$AT$26</xm:f>
          </x14:formula1>
          <xm:sqref>C5:H5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D6" sqref="D6"/>
    </sheetView>
  </sheetViews>
  <sheetFormatPr baseColWidth="10" defaultRowHeight="15" x14ac:dyDescent="0.25"/>
  <cols>
    <col min="1" max="1" width="4" style="425" customWidth="1"/>
    <col min="2" max="2" width="6.7109375" style="425" customWidth="1"/>
    <col min="3" max="8" width="12.7109375" style="425" customWidth="1"/>
    <col min="9" max="9" width="5.7109375" style="425" customWidth="1"/>
    <col min="10" max="16384" width="11.42578125" style="425"/>
  </cols>
  <sheetData>
    <row r="1" spans="1:16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CELL("ZEILE",B27)</f>
        <v>27</v>
      </c>
    </row>
    <row r="2" spans="1:16" ht="23.25" x14ac:dyDescent="0.25">
      <c r="A2" s="975"/>
      <c r="B2" s="475"/>
      <c r="C2" s="476" t="s">
        <v>36</v>
      </c>
      <c r="D2" s="995" t="s">
        <v>368</v>
      </c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CELL("ZEILE",G60)</f>
        <v>60</v>
      </c>
    </row>
    <row r="3" spans="1:16" ht="23.25" x14ac:dyDescent="0.25">
      <c r="A3" s="975"/>
      <c r="B3" s="475"/>
      <c r="C3" s="476"/>
      <c r="D3" s="495"/>
      <c r="E3" s="496"/>
      <c r="F3" s="496"/>
      <c r="G3" s="496"/>
      <c r="H3" s="497"/>
      <c r="I3" s="474"/>
      <c r="K3" s="268" t="s">
        <v>794</v>
      </c>
      <c r="L3" s="236"/>
      <c r="M3" s="236"/>
      <c r="N3" s="268">
        <f>F19</f>
        <v>0</v>
      </c>
    </row>
    <row r="4" spans="1:16" ht="15.75" x14ac:dyDescent="0.25">
      <c r="A4" s="975"/>
      <c r="B4" s="475"/>
      <c r="C4" s="516" t="s">
        <v>358</v>
      </c>
      <c r="D4" s="516" t="s">
        <v>284</v>
      </c>
      <c r="E4" s="516"/>
      <c r="F4" s="516" t="s">
        <v>357</v>
      </c>
      <c r="G4" s="516"/>
      <c r="H4" s="516" t="s">
        <v>355</v>
      </c>
      <c r="I4" s="516"/>
    </row>
    <row r="5" spans="1:16" ht="15.75" x14ac:dyDescent="0.25">
      <c r="A5" s="975"/>
      <c r="B5" s="475"/>
      <c r="C5" s="516" t="s">
        <v>354</v>
      </c>
      <c r="D5" s="516" t="s">
        <v>353</v>
      </c>
      <c r="E5" s="516"/>
      <c r="F5" s="516" t="s">
        <v>352</v>
      </c>
      <c r="G5" s="516"/>
      <c r="H5" s="516" t="s">
        <v>350</v>
      </c>
      <c r="I5" s="516"/>
      <c r="M5" s="138"/>
    </row>
    <row r="6" spans="1:16" ht="15.75" x14ac:dyDescent="0.25">
      <c r="A6" s="975"/>
      <c r="B6" s="475"/>
      <c r="C6" s="521">
        <v>1</v>
      </c>
      <c r="D6" s="509"/>
      <c r="E6" s="486"/>
      <c r="F6" s="520">
        <v>1</v>
      </c>
      <c r="G6" s="516"/>
      <c r="H6" s="486" t="str">
        <f>IF(F6=1, "1,5 mgon",IF(F6&gt;1,"besser 1,5 mgon","schlechter 1,5 mgon"))</f>
        <v>1,5 mgon</v>
      </c>
      <c r="I6" s="486"/>
      <c r="K6" s="513" t="s">
        <v>367</v>
      </c>
      <c r="M6" s="662">
        <f>IF(AND(ISNUMBER(D6),ISNUMBER(F6)),1,0)</f>
        <v>0</v>
      </c>
    </row>
    <row r="7" spans="1:16" ht="15.75" x14ac:dyDescent="0.25">
      <c r="A7" s="975"/>
      <c r="B7" s="475"/>
      <c r="C7" s="521">
        <v>2</v>
      </c>
      <c r="D7" s="509"/>
      <c r="E7" s="486"/>
      <c r="F7" s="520">
        <v>1</v>
      </c>
      <c r="G7" s="516"/>
      <c r="H7" s="486" t="str">
        <f t="shared" ref="H7:H10" si="0">IF(F7=1, "1,5 mgon",IF(F7&gt;1,"besser 1,5 mgon","schlechter 1,5 mgon"))</f>
        <v>1,5 mgon</v>
      </c>
      <c r="I7" s="486"/>
      <c r="K7" s="513" t="s">
        <v>366</v>
      </c>
      <c r="M7" s="662">
        <f t="shared" ref="M7:M10" si="1">IF(AND(ISNUMBER(D7),ISNUMBER(F7)),1,0)</f>
        <v>0</v>
      </c>
    </row>
    <row r="8" spans="1:16" ht="15.75" x14ac:dyDescent="0.25">
      <c r="A8" s="975"/>
      <c r="B8" s="475"/>
      <c r="C8" s="521">
        <v>3</v>
      </c>
      <c r="D8" s="509"/>
      <c r="E8" s="486"/>
      <c r="F8" s="520">
        <v>1</v>
      </c>
      <c r="G8" s="516"/>
      <c r="H8" s="486" t="str">
        <f t="shared" si="0"/>
        <v>1,5 mgon</v>
      </c>
      <c r="I8" s="486"/>
      <c r="K8" s="513" t="s">
        <v>365</v>
      </c>
      <c r="M8" s="662">
        <f t="shared" si="1"/>
        <v>0</v>
      </c>
    </row>
    <row r="9" spans="1:16" ht="15.75" x14ac:dyDescent="0.25">
      <c r="A9" s="975"/>
      <c r="B9" s="475"/>
      <c r="C9" s="521">
        <v>4</v>
      </c>
      <c r="D9" s="509"/>
      <c r="E9" s="486"/>
      <c r="F9" s="520">
        <v>1</v>
      </c>
      <c r="G9" s="516"/>
      <c r="H9" s="486" t="str">
        <f t="shared" si="0"/>
        <v>1,5 mgon</v>
      </c>
      <c r="I9" s="486"/>
      <c r="K9" s="513" t="s">
        <v>364</v>
      </c>
      <c r="M9" s="662">
        <f t="shared" si="1"/>
        <v>0</v>
      </c>
    </row>
    <row r="10" spans="1:16" ht="15.75" x14ac:dyDescent="0.25">
      <c r="A10" s="975"/>
      <c r="B10" s="475"/>
      <c r="C10" s="521">
        <v>5</v>
      </c>
      <c r="D10" s="509"/>
      <c r="E10" s="486"/>
      <c r="F10" s="520">
        <v>1</v>
      </c>
      <c r="G10" s="516"/>
      <c r="H10" s="486" t="str">
        <f t="shared" si="0"/>
        <v>1,5 mgon</v>
      </c>
      <c r="I10" s="486"/>
      <c r="K10" s="513" t="s">
        <v>363</v>
      </c>
      <c r="M10" s="662">
        <f t="shared" si="1"/>
        <v>0</v>
      </c>
    </row>
    <row r="11" spans="1:16" ht="15.75" x14ac:dyDescent="0.25">
      <c r="A11" s="975"/>
      <c r="B11" s="475"/>
      <c r="C11" s="486"/>
      <c r="D11" s="486"/>
      <c r="E11" s="486"/>
      <c r="F11" s="486"/>
      <c r="G11" s="486"/>
      <c r="H11" s="486"/>
      <c r="I11" s="486"/>
      <c r="K11" s="513"/>
      <c r="L11" s="513"/>
      <c r="N11" s="513"/>
      <c r="O11" s="513"/>
    </row>
    <row r="12" spans="1:16" ht="15.75" x14ac:dyDescent="0.25">
      <c r="A12" s="975"/>
      <c r="B12" s="475"/>
      <c r="C12" s="482" t="str">
        <f>IF(AND(VSK=0,SUM(M7:M10)&gt;0),"Azimutgruppe 1 ausfüllen!","")</f>
        <v/>
      </c>
      <c r="D12" s="486"/>
      <c r="E12" s="486"/>
      <c r="F12" s="486"/>
      <c r="G12" s="486"/>
      <c r="H12" s="486"/>
      <c r="I12" s="486"/>
    </row>
    <row r="13" spans="1:16" ht="15.75" x14ac:dyDescent="0.25">
      <c r="A13" s="975"/>
      <c r="B13" s="474"/>
      <c r="C13" s="486"/>
      <c r="D13" s="486"/>
      <c r="E13" s="486"/>
      <c r="F13" s="486"/>
      <c r="G13" s="486"/>
      <c r="H13" s="486"/>
      <c r="I13" s="475"/>
      <c r="K13" s="513"/>
      <c r="L13" s="513"/>
      <c r="M13" s="518"/>
      <c r="N13" s="513"/>
      <c r="O13" s="513"/>
      <c r="P13" s="513"/>
    </row>
    <row r="14" spans="1:16" ht="15.75" x14ac:dyDescent="0.25">
      <c r="A14" s="975"/>
      <c r="B14" s="475"/>
      <c r="C14" s="486"/>
      <c r="D14" s="486"/>
      <c r="E14" s="486"/>
      <c r="F14" s="486"/>
      <c r="G14" s="486"/>
      <c r="H14" s="486"/>
      <c r="I14" s="476"/>
      <c r="K14" s="513"/>
      <c r="L14" s="513"/>
      <c r="M14" s="518"/>
      <c r="N14" s="513"/>
      <c r="O14" s="513"/>
      <c r="P14" s="513"/>
    </row>
    <row r="15" spans="1:16" ht="15.75" x14ac:dyDescent="0.25">
      <c r="A15" s="975"/>
      <c r="B15" s="475"/>
      <c r="C15" s="486"/>
      <c r="D15" s="487"/>
      <c r="E15" s="486"/>
      <c r="F15" s="488"/>
      <c r="G15" s="712" t="s">
        <v>717</v>
      </c>
      <c r="H15" s="488"/>
      <c r="I15" s="476"/>
      <c r="K15" s="513"/>
      <c r="L15" s="513"/>
      <c r="M15" s="518"/>
      <c r="N15" s="513"/>
      <c r="O15" s="513"/>
      <c r="P15" s="513"/>
    </row>
    <row r="16" spans="1:16" ht="15.75" x14ac:dyDescent="0.25">
      <c r="A16" s="975"/>
      <c r="B16" s="475"/>
      <c r="C16" s="476" t="s">
        <v>34</v>
      </c>
      <c r="D16" s="476"/>
      <c r="E16" s="489"/>
      <c r="F16" s="476"/>
      <c r="G16" s="1000"/>
      <c r="H16" s="1001"/>
      <c r="I16" s="476"/>
      <c r="K16" s="513"/>
      <c r="L16" s="513"/>
      <c r="M16" s="513"/>
      <c r="N16" s="513"/>
      <c r="O16" s="513"/>
      <c r="P16" s="513"/>
    </row>
    <row r="17" spans="1:16" ht="15.75" x14ac:dyDescent="0.25">
      <c r="A17" s="975"/>
      <c r="B17" s="475"/>
      <c r="C17" s="476" t="s">
        <v>1</v>
      </c>
      <c r="D17" s="476"/>
      <c r="E17" s="490"/>
      <c r="F17" s="476"/>
      <c r="G17" s="998"/>
      <c r="H17" s="998"/>
      <c r="I17" s="476"/>
    </row>
    <row r="18" spans="1:16" ht="15.75" x14ac:dyDescent="0.25">
      <c r="A18" s="975"/>
      <c r="B18" s="475"/>
      <c r="C18" s="476"/>
      <c r="D18" s="476"/>
      <c r="E18" s="491"/>
      <c r="F18" s="476"/>
      <c r="G18" s="475"/>
      <c r="H18" s="475"/>
      <c r="I18" s="474"/>
    </row>
    <row r="19" spans="1:16" ht="21" x14ac:dyDescent="0.35">
      <c r="A19" s="975"/>
      <c r="B19" s="474"/>
      <c r="C19" s="492" t="str">
        <f>IF(VSK=0, "UNVOLLSTÄNDIG AUSGEFÜLLT!","")</f>
        <v>UNVOLLSTÄNDIG AUSGEFÜLLT!</v>
      </c>
      <c r="D19" s="474"/>
      <c r="E19" s="474"/>
      <c r="F19" s="687">
        <f>IF((SUM(M7:M10)*M6+M6)&gt;0,1,0)</f>
        <v>0</v>
      </c>
      <c r="G19" s="999" t="str">
        <f>IF(VSK&lt;&gt;0, H60,"")</f>
        <v/>
      </c>
      <c r="H19" s="999"/>
      <c r="I19" s="474"/>
      <c r="P19" s="513"/>
    </row>
    <row r="20" spans="1:16" ht="15.75" x14ac:dyDescent="0.25">
      <c r="A20" s="975"/>
      <c r="B20" s="474"/>
      <c r="C20" s="474"/>
      <c r="D20" s="474"/>
      <c r="E20" s="474"/>
      <c r="F20" s="474"/>
      <c r="G20" s="474"/>
      <c r="H20" s="474"/>
      <c r="I20" s="474"/>
    </row>
    <row r="21" spans="1:16" ht="15" customHeight="1" x14ac:dyDescent="0.25">
      <c r="A21" s="973" t="s">
        <v>72</v>
      </c>
    </row>
    <row r="22" spans="1:16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6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6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6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6" x14ac:dyDescent="0.25">
      <c r="A26" s="973"/>
    </row>
    <row r="27" spans="1:16" ht="18.75" x14ac:dyDescent="0.25">
      <c r="A27" s="973"/>
      <c r="B27" s="968" t="str">
        <f>D2</f>
        <v>KREISEL-STÜTZ-AZIMUT</v>
      </c>
      <c r="C27" s="968"/>
      <c r="D27" s="968"/>
      <c r="E27" s="968"/>
      <c r="F27" s="968"/>
      <c r="G27" s="968"/>
      <c r="H27" s="968"/>
      <c r="I27" s="968"/>
    </row>
    <row r="28" spans="1:16" x14ac:dyDescent="0.25">
      <c r="A28" s="973"/>
    </row>
    <row r="29" spans="1:16" x14ac:dyDescent="0.25">
      <c r="A29" s="973"/>
      <c r="C29" s="425" t="s">
        <v>777</v>
      </c>
    </row>
    <row r="30" spans="1:16" x14ac:dyDescent="0.25">
      <c r="A30" s="973"/>
    </row>
    <row r="31" spans="1:16" x14ac:dyDescent="0.25">
      <c r="A31" s="973"/>
      <c r="C31" s="425" t="s">
        <v>46</v>
      </c>
      <c r="E31" s="170">
        <f>Gesamt!E14</f>
        <v>79.08</v>
      </c>
    </row>
    <row r="32" spans="1:16" x14ac:dyDescent="0.25">
      <c r="A32" s="973"/>
      <c r="C32" s="444"/>
    </row>
    <row r="33" spans="1:9" x14ac:dyDescent="0.25">
      <c r="A33" s="973"/>
      <c r="C33" s="519" t="s">
        <v>362</v>
      </c>
      <c r="E33" s="519" t="s">
        <v>361</v>
      </c>
    </row>
    <row r="34" spans="1:9" x14ac:dyDescent="0.25">
      <c r="A34" s="973"/>
      <c r="C34" s="425" t="s">
        <v>360</v>
      </c>
      <c r="E34" s="519" t="s">
        <v>359</v>
      </c>
    </row>
    <row r="35" spans="1:9" x14ac:dyDescent="0.25">
      <c r="A35" s="973"/>
    </row>
    <row r="36" spans="1:9" x14ac:dyDescent="0.25">
      <c r="A36" s="973"/>
      <c r="B36" s="437"/>
    </row>
    <row r="37" spans="1:9" x14ac:dyDescent="0.25">
      <c r="A37" s="973"/>
      <c r="B37" s="437"/>
      <c r="C37" s="528" t="s">
        <v>358</v>
      </c>
      <c r="D37" s="532" t="s">
        <v>284</v>
      </c>
      <c r="E37" s="532" t="s">
        <v>357</v>
      </c>
      <c r="F37" s="530" t="s">
        <v>356</v>
      </c>
      <c r="G37" s="528"/>
      <c r="H37" s="528" t="s">
        <v>355</v>
      </c>
    </row>
    <row r="38" spans="1:9" x14ac:dyDescent="0.25">
      <c r="A38" s="973"/>
      <c r="C38" s="527" t="s">
        <v>354</v>
      </c>
      <c r="D38" s="533" t="s">
        <v>353</v>
      </c>
      <c r="E38" s="533" t="s">
        <v>352</v>
      </c>
      <c r="F38" s="531" t="s">
        <v>351</v>
      </c>
      <c r="G38" s="527"/>
      <c r="H38" s="527" t="s">
        <v>350</v>
      </c>
    </row>
    <row r="39" spans="1:9" x14ac:dyDescent="0.25">
      <c r="A39" s="973"/>
      <c r="C39" s="523" t="str">
        <f>IF($M$6&gt;0,"1","")</f>
        <v/>
      </c>
      <c r="D39" s="523" t="str">
        <f>IF($M$6&gt;0,D6,"")</f>
        <v/>
      </c>
      <c r="E39" s="525" t="str">
        <f>IF($M$6&gt;0,F6,"")</f>
        <v/>
      </c>
      <c r="F39" s="529" t="str">
        <f>IF(VSK&lt;&gt;0, ((15*D39+61.2)*E39*IS),"")</f>
        <v/>
      </c>
      <c r="G39" s="522"/>
      <c r="H39" s="526" t="str">
        <f>IF($M$6&gt;0,H6,"")</f>
        <v/>
      </c>
    </row>
    <row r="40" spans="1:9" x14ac:dyDescent="0.25">
      <c r="A40" s="973"/>
      <c r="C40" s="523" t="str">
        <f>IF(AND($M$6&gt;0,M7&gt;0),"2","")</f>
        <v/>
      </c>
      <c r="D40" s="523" t="str">
        <f>IF(AND($M$6&gt;0,M7&gt;0),D7,"")</f>
        <v/>
      </c>
      <c r="E40" s="525" t="str">
        <f>IF(AND($M$6&gt;0,M7&gt;0),F7,"")</f>
        <v/>
      </c>
      <c r="F40" s="529" t="str">
        <f>IF(AND(M7&lt;&gt;0,VSK&gt;0), ((15*D40+31.5)*E40*IS),"")</f>
        <v/>
      </c>
      <c r="G40" s="522"/>
      <c r="H40" s="526" t="str">
        <f>IF(AND($M$6&gt;0,M7&gt;0),H7,"")</f>
        <v/>
      </c>
    </row>
    <row r="41" spans="1:9" x14ac:dyDescent="0.25">
      <c r="A41" s="973"/>
      <c r="C41" s="523" t="str">
        <f>IF(AND($M$6&gt;0,M8&gt;0),"3","")</f>
        <v/>
      </c>
      <c r="D41" s="523" t="str">
        <f t="shared" ref="D41:D43" si="2">IF(AND($M$6&gt;0,M8&gt;0),D8,"")</f>
        <v/>
      </c>
      <c r="E41" s="525" t="str">
        <f>IF(AND($M$6&gt;0,M8&gt;0),F8,"")</f>
        <v/>
      </c>
      <c r="F41" s="529" t="str">
        <f>IF(AND(M8&lt;&gt;0,VSK&gt;0), ((15*D41+31.5)*E41*IS),"")</f>
        <v/>
      </c>
      <c r="G41" s="522"/>
      <c r="H41" s="526" t="str">
        <f t="shared" ref="H41:H43" si="3">IF(AND($M$6&gt;0,M8&gt;0),H8,"")</f>
        <v/>
      </c>
    </row>
    <row r="42" spans="1:9" x14ac:dyDescent="0.25">
      <c r="A42" s="973"/>
      <c r="C42" s="523" t="str">
        <f>IF(AND($M$6&gt;0,M9&gt;0),"4","")</f>
        <v/>
      </c>
      <c r="D42" s="523" t="str">
        <f t="shared" si="2"/>
        <v/>
      </c>
      <c r="E42" s="525" t="str">
        <f>IF(AND($M$6&gt;0,M9&gt;0),F9,"")</f>
        <v/>
      </c>
      <c r="F42" s="529" t="str">
        <f>IF(AND(M9&lt;&gt;0,VSK&gt;0), ((15*D42+31.5)*E42*IS),"")</f>
        <v/>
      </c>
      <c r="G42" s="522"/>
      <c r="H42" s="526" t="str">
        <f t="shared" si="3"/>
        <v/>
      </c>
    </row>
    <row r="43" spans="1:9" x14ac:dyDescent="0.25">
      <c r="A43" s="973"/>
      <c r="C43" s="523" t="str">
        <f>IF(AND($M$6&gt;0,M10&gt;0),"5","")</f>
        <v/>
      </c>
      <c r="D43" s="523" t="str">
        <f t="shared" si="2"/>
        <v/>
      </c>
      <c r="E43" s="525" t="str">
        <f>IF(AND($M$6&gt;0,M10&gt;0),F10,"")</f>
        <v/>
      </c>
      <c r="F43" s="529" t="str">
        <f>IF(AND(M10&lt;&gt;0,VSK&gt;0), ((15*D43+31.5)*E43*IS),"")</f>
        <v/>
      </c>
      <c r="G43" s="522"/>
      <c r="H43" s="526" t="str">
        <f t="shared" si="3"/>
        <v/>
      </c>
    </row>
    <row r="44" spans="1:9" x14ac:dyDescent="0.25">
      <c r="A44" s="973"/>
      <c r="C44" s="523"/>
      <c r="D44" s="523"/>
      <c r="E44" s="524"/>
      <c r="F44" s="525"/>
      <c r="G44" s="522"/>
      <c r="H44" s="526"/>
      <c r="I44" s="428"/>
    </row>
    <row r="45" spans="1:9" x14ac:dyDescent="0.25">
      <c r="A45" s="973"/>
      <c r="F45" s="436"/>
    </row>
    <row r="46" spans="1:9" x14ac:dyDescent="0.25">
      <c r="A46" s="973"/>
      <c r="C46" s="428" t="s">
        <v>64</v>
      </c>
      <c r="D46" s="428"/>
      <c r="E46" s="428"/>
      <c r="F46" s="467">
        <f>IF(VSK&lt;&gt;0,SUM(F39:F43),0)</f>
        <v>0</v>
      </c>
      <c r="G46" s="426"/>
    </row>
    <row r="47" spans="1:9" x14ac:dyDescent="0.25">
      <c r="A47" s="973"/>
      <c r="F47" s="436"/>
      <c r="G47" s="426"/>
    </row>
    <row r="48" spans="1:9" x14ac:dyDescent="0.25">
      <c r="A48" s="973"/>
      <c r="B48" s="428"/>
    </row>
    <row r="49" spans="1:9" x14ac:dyDescent="0.25">
      <c r="A49" s="973"/>
    </row>
    <row r="50" spans="1:9" ht="15.75" x14ac:dyDescent="0.25">
      <c r="A50" s="973"/>
      <c r="I50" s="445"/>
    </row>
    <row r="51" spans="1:9" x14ac:dyDescent="0.25">
      <c r="A51" s="973"/>
    </row>
    <row r="52" spans="1:9" x14ac:dyDescent="0.25">
      <c r="A52" s="973"/>
    </row>
    <row r="53" spans="1:9" x14ac:dyDescent="0.25">
      <c r="A53" s="973"/>
    </row>
    <row r="54" spans="1:9" x14ac:dyDescent="0.25">
      <c r="A54" s="973"/>
    </row>
    <row r="55" spans="1:9" x14ac:dyDescent="0.25">
      <c r="A55" s="973"/>
    </row>
    <row r="56" spans="1:9" x14ac:dyDescent="0.25">
      <c r="A56" s="973"/>
      <c r="B56" s="428"/>
      <c r="C56" s="425" t="str">
        <f>IF(AND(ZuAbschlag&lt;&gt;0,VSK&lt;&gt;0),"Zu-/Abschlag:","")</f>
        <v/>
      </c>
      <c r="E56" s="444" t="str">
        <f>IF(AND(ZuAbschlag&lt;&gt;0,VSK&lt;&gt;0),ZuAbschlag,"")</f>
        <v/>
      </c>
      <c r="F56" s="446" t="str">
        <f>IF(AND(ZuAbschlag&lt;&gt;0,VSK&lt;&gt;0),E56*F46,"")</f>
        <v/>
      </c>
      <c r="G56" s="426" t="str">
        <f>IF(AND(ZuAbschlag&lt;&gt;0,VSK&lt;&gt;0,G16&lt;&gt;""),G16,"")</f>
        <v/>
      </c>
    </row>
    <row r="57" spans="1:9" x14ac:dyDescent="0.25">
      <c r="A57" s="973"/>
      <c r="C57" s="425" t="str">
        <f>IF(AND(NK&lt;&gt;0,VSK&lt;&gt;0),"Nebenkosten:","")</f>
        <v/>
      </c>
      <c r="F57" s="446" t="str">
        <f>IF(AND(NK&lt;&gt;0,VSK&lt;&gt;0),NK,"")</f>
        <v/>
      </c>
      <c r="G57" s="426" t="str">
        <f>IF(AND(NK&lt;&gt;0,VSK&lt;&gt;0,G17&lt;&gt;""),G17,"")</f>
        <v/>
      </c>
    </row>
    <row r="58" spans="1:9" x14ac:dyDescent="0.25">
      <c r="A58" s="973"/>
      <c r="C58" s="108"/>
      <c r="D58" s="108"/>
      <c r="E58" s="108"/>
      <c r="F58" s="108"/>
      <c r="G58" s="108"/>
      <c r="H58" s="108"/>
    </row>
    <row r="59" spans="1:9" ht="15" customHeight="1" x14ac:dyDescent="0.25">
      <c r="A59" s="973"/>
    </row>
    <row r="60" spans="1:9" ht="15.75" x14ac:dyDescent="0.25">
      <c r="A60" s="973"/>
      <c r="C60" s="445" t="s">
        <v>71</v>
      </c>
      <c r="D60" s="445"/>
      <c r="E60" s="445"/>
      <c r="F60" s="445"/>
      <c r="G60" s="967">
        <f>IF(VSK&gt;0,SUM(F46,F56,F57),0)</f>
        <v>0</v>
      </c>
      <c r="H60" s="967"/>
    </row>
    <row r="61" spans="1:9" ht="15.75" x14ac:dyDescent="0.25">
      <c r="A61" s="973"/>
      <c r="B61" s="445"/>
    </row>
    <row r="62" spans="1:9" x14ac:dyDescent="0.25">
      <c r="A62" s="973"/>
    </row>
    <row r="63" spans="1:9" x14ac:dyDescent="0.25">
      <c r="A63" s="973"/>
    </row>
    <row r="64" spans="1:9" x14ac:dyDescent="0.25">
      <c r="A64" s="973"/>
    </row>
    <row r="65" spans="1:1" x14ac:dyDescent="0.25">
      <c r="A65" s="973"/>
    </row>
    <row r="66" spans="1:1" x14ac:dyDescent="0.25">
      <c r="A66" s="973"/>
    </row>
    <row r="67" spans="1:1" x14ac:dyDescent="0.25">
      <c r="A67" s="973"/>
    </row>
    <row r="68" spans="1:1" x14ac:dyDescent="0.25">
      <c r="A68" s="973"/>
    </row>
    <row r="69" spans="1:1" x14ac:dyDescent="0.25">
      <c r="A69" s="973"/>
    </row>
  </sheetData>
  <mergeCells count="12">
    <mergeCell ref="A21:A69"/>
    <mergeCell ref="B22:I22"/>
    <mergeCell ref="B23:I23"/>
    <mergeCell ref="B24:I24"/>
    <mergeCell ref="B25:I25"/>
    <mergeCell ref="B27:I27"/>
    <mergeCell ref="G60:H60"/>
    <mergeCell ref="A1:A20"/>
    <mergeCell ref="D2:H2"/>
    <mergeCell ref="G16:H16"/>
    <mergeCell ref="G17:H17"/>
    <mergeCell ref="G19:H19"/>
  </mergeCells>
  <dataValidations count="4">
    <dataValidation type="decimal" allowBlank="1" showInputMessage="1" showErrorMessage="1" error="Zahl zwischen 0 und 2 eingeben" sqref="F6:F10">
      <formula1>0</formula1>
      <formula2>2</formula2>
    </dataValidation>
    <dataValidation type="whole" allowBlank="1" showInputMessage="1" showErrorMessage="1" error="Zahlebereich: 1 bis 3 Azimute" sqref="D6:D10">
      <formula1>1</formula1>
      <formula2>3</formula2>
    </dataValidation>
    <dataValidation type="decimal" operator="greaterThan" showInputMessage="1" showErrorMessage="1" sqref="E16">
      <formula1>-1000</formula1>
    </dataValidation>
    <dataValidation type="decimal" operator="greaterThan" showInputMessage="1" showErrorMessage="1" sqref="E17">
      <formula1>-1000000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zoomScaleNormal="100" workbookViewId="0">
      <selection activeCell="D6" sqref="D6"/>
    </sheetView>
  </sheetViews>
  <sheetFormatPr baseColWidth="10" defaultRowHeight="15" x14ac:dyDescent="0.25"/>
  <cols>
    <col min="1" max="1" width="4" style="611" customWidth="1"/>
    <col min="2" max="2" width="6.7109375" style="611" customWidth="1"/>
    <col min="3" max="8" width="12.7109375" style="611" customWidth="1"/>
    <col min="9" max="9" width="5.5703125" style="611" customWidth="1"/>
    <col min="10" max="16384" width="11.42578125" style="611"/>
  </cols>
  <sheetData>
    <row r="1" spans="1:16" ht="15.75" customHeight="1" x14ac:dyDescent="0.25">
      <c r="A1" s="976" t="s">
        <v>35</v>
      </c>
      <c r="B1" s="767"/>
      <c r="C1" s="767"/>
      <c r="D1" s="767"/>
      <c r="E1" s="767"/>
      <c r="F1" s="767"/>
      <c r="G1" s="767"/>
      <c r="H1" s="767"/>
      <c r="I1" s="767"/>
      <c r="K1" s="798" t="s">
        <v>792</v>
      </c>
      <c r="L1" s="798"/>
      <c r="M1" s="798"/>
      <c r="N1" s="799">
        <f ca="1">CELL("ZEILE",B27)</f>
        <v>27</v>
      </c>
    </row>
    <row r="2" spans="1:16" ht="23.25" x14ac:dyDescent="0.25">
      <c r="A2" s="976"/>
      <c r="B2" s="768"/>
      <c r="C2" s="769" t="s">
        <v>36</v>
      </c>
      <c r="D2" s="1010" t="str">
        <f>CONCATENATE("SETZUNGSMESSUNG - ",C4)</f>
        <v>SETZUNGSMESSUNG - Nullmessung</v>
      </c>
      <c r="E2" s="1011"/>
      <c r="F2" s="1011"/>
      <c r="G2" s="1011"/>
      <c r="H2" s="1012"/>
      <c r="I2" s="767"/>
      <c r="K2" s="800" t="s">
        <v>793</v>
      </c>
      <c r="L2" s="801"/>
      <c r="M2" s="801"/>
      <c r="N2" s="800">
        <f ca="1">CELL("ZEILE",G60)</f>
        <v>60</v>
      </c>
      <c r="O2" s="848"/>
    </row>
    <row r="3" spans="1:16" ht="23.25" x14ac:dyDescent="0.25">
      <c r="A3" s="976"/>
      <c r="B3" s="768"/>
      <c r="C3" s="770"/>
      <c r="D3" s="771"/>
      <c r="E3" s="772"/>
      <c r="F3" s="772"/>
      <c r="G3" s="772"/>
      <c r="H3" s="773"/>
      <c r="I3" s="767"/>
      <c r="K3" s="800" t="s">
        <v>794</v>
      </c>
      <c r="L3" s="801"/>
      <c r="M3" s="801"/>
      <c r="N3" s="800">
        <f>F19</f>
        <v>0</v>
      </c>
      <c r="O3" s="848"/>
    </row>
    <row r="4" spans="1:16" ht="15.75" x14ac:dyDescent="0.25">
      <c r="A4" s="976"/>
      <c r="B4" s="774"/>
      <c r="C4" s="1008" t="s">
        <v>600</v>
      </c>
      <c r="D4" s="1009"/>
      <c r="E4" s="775"/>
      <c r="F4" s="770"/>
      <c r="G4" s="776" t="str">
        <f>IF(C4="Wiederholungsmessung","Anzahl der Wiederholungsmessungen:","")</f>
        <v/>
      </c>
      <c r="H4" s="849">
        <v>2</v>
      </c>
      <c r="I4" s="770"/>
      <c r="K4" s="848"/>
      <c r="L4" s="848"/>
      <c r="M4" s="848"/>
      <c r="N4" s="848"/>
      <c r="O4" s="848"/>
    </row>
    <row r="5" spans="1:16" ht="15.75" x14ac:dyDescent="0.25">
      <c r="A5" s="976"/>
      <c r="B5" s="768"/>
      <c r="C5" s="770"/>
      <c r="D5" s="770"/>
      <c r="E5" s="770"/>
      <c r="F5" s="770"/>
      <c r="G5" s="770"/>
      <c r="H5" s="770"/>
      <c r="I5" s="770"/>
      <c r="K5" s="848"/>
      <c r="L5" s="848"/>
      <c r="M5" s="848"/>
      <c r="N5" s="848"/>
      <c r="O5" s="848"/>
    </row>
    <row r="6" spans="1:16" ht="15.75" x14ac:dyDescent="0.25">
      <c r="A6" s="976"/>
      <c r="B6" s="768"/>
      <c r="C6" s="770" t="s">
        <v>297</v>
      </c>
      <c r="D6" s="850"/>
      <c r="E6" s="777" t="s">
        <v>378</v>
      </c>
      <c r="F6" s="778"/>
      <c r="G6" s="770"/>
      <c r="H6" s="778"/>
      <c r="I6" s="778"/>
      <c r="K6" s="848"/>
      <c r="L6" s="848"/>
      <c r="M6" s="848"/>
      <c r="N6" s="848"/>
      <c r="O6" s="848"/>
    </row>
    <row r="7" spans="1:16" ht="15.75" x14ac:dyDescent="0.25">
      <c r="A7" s="976"/>
      <c r="B7" s="768"/>
      <c r="C7" s="770"/>
      <c r="D7" s="778"/>
      <c r="E7" s="779"/>
      <c r="F7" s="778"/>
      <c r="G7" s="770"/>
      <c r="H7" s="778"/>
      <c r="I7" s="778"/>
      <c r="K7" s="848"/>
      <c r="L7" s="848"/>
      <c r="M7" s="848"/>
      <c r="N7" s="848"/>
      <c r="O7" s="848"/>
    </row>
    <row r="8" spans="1:16" ht="15.75" x14ac:dyDescent="0.25">
      <c r="A8" s="976"/>
      <c r="B8" s="768"/>
      <c r="C8" s="770" t="s">
        <v>377</v>
      </c>
      <c r="D8" s="851"/>
      <c r="E8" s="779" t="s">
        <v>376</v>
      </c>
      <c r="F8" s="778"/>
      <c r="G8" s="770"/>
      <c r="H8" s="778"/>
      <c r="I8" s="778"/>
      <c r="K8" s="848"/>
      <c r="L8" s="848"/>
      <c r="M8" s="848"/>
      <c r="N8" s="848"/>
      <c r="O8" s="848"/>
    </row>
    <row r="9" spans="1:16" ht="15.75" x14ac:dyDescent="0.25">
      <c r="A9" s="976"/>
      <c r="B9" s="768"/>
      <c r="C9" s="770"/>
      <c r="D9" s="778"/>
      <c r="E9" s="779"/>
      <c r="F9" s="778"/>
      <c r="G9" s="770"/>
      <c r="H9" s="778"/>
      <c r="I9" s="778"/>
      <c r="K9" s="848"/>
      <c r="L9" s="848"/>
      <c r="M9" s="848"/>
      <c r="N9" s="848"/>
      <c r="O9" s="848"/>
    </row>
    <row r="10" spans="1:16" ht="15.75" x14ac:dyDescent="0.25">
      <c r="A10" s="976"/>
      <c r="B10" s="768"/>
      <c r="C10" s="770" t="s">
        <v>155</v>
      </c>
      <c r="D10" s="780">
        <f>VLOOKUP(E10,Konstante!Y40:Z48,2,FALSE)</f>
        <v>1.1499999999999999</v>
      </c>
      <c r="E10" s="852" t="s">
        <v>20</v>
      </c>
      <c r="F10" s="779" t="s">
        <v>375</v>
      </c>
      <c r="G10" s="770"/>
      <c r="H10" s="778"/>
      <c r="I10" s="778"/>
      <c r="K10" s="848"/>
      <c r="M10" s="853"/>
    </row>
    <row r="11" spans="1:16" ht="15.75" x14ac:dyDescent="0.25">
      <c r="A11" s="976"/>
      <c r="B11" s="768"/>
      <c r="C11" s="770"/>
      <c r="D11" s="778"/>
      <c r="E11" s="778"/>
      <c r="F11" s="778"/>
      <c r="G11" s="778"/>
      <c r="H11" s="778"/>
      <c r="I11" s="778"/>
      <c r="K11" s="848"/>
      <c r="L11" s="848"/>
      <c r="N11" s="848"/>
      <c r="O11" s="848"/>
    </row>
    <row r="12" spans="1:16" ht="15.75" x14ac:dyDescent="0.25">
      <c r="A12" s="976"/>
      <c r="B12" s="768"/>
      <c r="C12" s="770" t="s">
        <v>226</v>
      </c>
      <c r="D12" s="781">
        <f>VLOOKUP(E12,Konstante!AC40:AD43,2,FALSE)</f>
        <v>0.64090000000000003</v>
      </c>
      <c r="E12" s="852" t="s">
        <v>613</v>
      </c>
      <c r="F12" s="779" t="s">
        <v>373</v>
      </c>
      <c r="G12" s="770"/>
      <c r="H12" s="778"/>
      <c r="I12" s="778"/>
    </row>
    <row r="13" spans="1:16" ht="15.75" x14ac:dyDescent="0.25">
      <c r="A13" s="976"/>
      <c r="B13" s="767"/>
      <c r="C13" s="778"/>
      <c r="D13" s="778"/>
      <c r="E13" s="778"/>
      <c r="F13" s="778"/>
      <c r="G13" s="778"/>
      <c r="H13" s="778"/>
      <c r="I13" s="768"/>
      <c r="K13" s="848"/>
      <c r="L13" s="848"/>
      <c r="M13" s="854"/>
      <c r="N13" s="848"/>
      <c r="O13" s="848"/>
      <c r="P13" s="848"/>
    </row>
    <row r="14" spans="1:16" ht="15.75" x14ac:dyDescent="0.25">
      <c r="A14" s="976"/>
      <c r="B14" s="768"/>
      <c r="C14" s="778"/>
      <c r="D14" s="778"/>
      <c r="E14" s="778"/>
      <c r="F14" s="778"/>
      <c r="G14" s="778"/>
      <c r="H14" s="778"/>
      <c r="I14" s="769"/>
      <c r="K14" s="848"/>
      <c r="L14" s="848"/>
      <c r="M14" s="854"/>
      <c r="N14" s="848"/>
      <c r="O14" s="848"/>
      <c r="P14" s="848"/>
    </row>
    <row r="15" spans="1:16" ht="15.75" x14ac:dyDescent="0.25">
      <c r="A15" s="976"/>
      <c r="B15" s="768"/>
      <c r="C15" s="778"/>
      <c r="D15" s="782"/>
      <c r="E15" s="778"/>
      <c r="F15" s="783"/>
      <c r="G15" s="784" t="s">
        <v>717</v>
      </c>
      <c r="H15" s="783"/>
      <c r="I15" s="769"/>
      <c r="K15" s="848"/>
      <c r="L15" s="848"/>
      <c r="M15" s="854"/>
      <c r="N15" s="848"/>
      <c r="O15" s="848"/>
      <c r="P15" s="848"/>
    </row>
    <row r="16" spans="1:16" ht="15.75" x14ac:dyDescent="0.25">
      <c r="A16" s="976"/>
      <c r="B16" s="768"/>
      <c r="C16" s="769" t="s">
        <v>34</v>
      </c>
      <c r="D16" s="769"/>
      <c r="E16" s="855"/>
      <c r="F16" s="769"/>
      <c r="G16" s="1013"/>
      <c r="H16" s="1014"/>
      <c r="I16" s="769"/>
      <c r="K16" s="848"/>
      <c r="L16" s="848"/>
      <c r="M16" s="848"/>
      <c r="N16" s="848"/>
      <c r="O16" s="848"/>
      <c r="P16" s="848"/>
    </row>
    <row r="17" spans="1:16" ht="15.75" x14ac:dyDescent="0.25">
      <c r="A17" s="976"/>
      <c r="B17" s="768"/>
      <c r="C17" s="769" t="s">
        <v>1</v>
      </c>
      <c r="D17" s="769"/>
      <c r="E17" s="856"/>
      <c r="F17" s="769"/>
      <c r="G17" s="1015"/>
      <c r="H17" s="1015"/>
      <c r="I17" s="769"/>
    </row>
    <row r="18" spans="1:16" ht="15.75" x14ac:dyDescent="0.25">
      <c r="A18" s="976"/>
      <c r="B18" s="768"/>
      <c r="C18" s="769"/>
      <c r="D18" s="769"/>
      <c r="E18" s="785"/>
      <c r="F18" s="769"/>
      <c r="G18" s="768"/>
      <c r="H18" s="768"/>
      <c r="I18" s="767"/>
    </row>
    <row r="19" spans="1:16" ht="21" x14ac:dyDescent="0.35">
      <c r="A19" s="976"/>
      <c r="B19" s="767"/>
      <c r="C19" s="690" t="str">
        <f>IF(VSK=0, "UNVOLLSTÄNDIG AUSGEFÜLLT!","")</f>
        <v>UNVOLLSTÄNDIG AUSGEFÜLLT!</v>
      </c>
      <c r="D19" s="767"/>
      <c r="E19" s="767"/>
      <c r="F19" s="689">
        <f>IF(AND(ISNUMBER(S_),ISNUMBER(P)),1,0)</f>
        <v>0</v>
      </c>
      <c r="G19" s="983" t="str">
        <f>IF(VSK&lt;&gt;0, G60,"")</f>
        <v/>
      </c>
      <c r="H19" s="983"/>
      <c r="I19" s="767"/>
      <c r="P19" s="848"/>
    </row>
    <row r="20" spans="1:16" ht="15.75" x14ac:dyDescent="0.25">
      <c r="A20" s="976"/>
      <c r="B20" s="767"/>
      <c r="C20" s="767"/>
      <c r="D20" s="767"/>
      <c r="E20" s="767"/>
      <c r="F20" s="767"/>
      <c r="G20" s="767"/>
      <c r="H20" s="767"/>
      <c r="I20" s="767"/>
    </row>
    <row r="21" spans="1:16" ht="15" customHeight="1" x14ac:dyDescent="0.25">
      <c r="A21" s="982" t="s">
        <v>72</v>
      </c>
    </row>
    <row r="22" spans="1:16" x14ac:dyDescent="0.25">
      <c r="A22" s="982"/>
      <c r="B22" s="984" t="str">
        <f>CONCATENATE(Gesamt!C2, ": ", Gesamt!E2)</f>
        <v xml:space="preserve">Projekt: </v>
      </c>
      <c r="C22" s="984"/>
      <c r="D22" s="984"/>
      <c r="E22" s="984"/>
      <c r="F22" s="984"/>
      <c r="G22" s="984"/>
      <c r="H22" s="984"/>
      <c r="I22" s="984"/>
    </row>
    <row r="23" spans="1:16" x14ac:dyDescent="0.25">
      <c r="A23" s="982"/>
      <c r="B23" s="985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85"/>
      <c r="D23" s="985"/>
      <c r="E23" s="985"/>
      <c r="F23" s="985"/>
      <c r="G23" s="985"/>
      <c r="H23" s="985"/>
      <c r="I23" s="985"/>
    </row>
    <row r="24" spans="1:16" x14ac:dyDescent="0.25">
      <c r="A24" s="982"/>
      <c r="B24" s="985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85"/>
      <c r="D24" s="985"/>
      <c r="E24" s="985"/>
      <c r="F24" s="985"/>
      <c r="G24" s="985"/>
      <c r="H24" s="985"/>
      <c r="I24" s="985"/>
    </row>
    <row r="25" spans="1:16" x14ac:dyDescent="0.25">
      <c r="A25" s="982"/>
      <c r="B25" s="985" t="s">
        <v>42</v>
      </c>
      <c r="C25" s="985"/>
      <c r="D25" s="985"/>
      <c r="E25" s="985"/>
      <c r="F25" s="985"/>
      <c r="G25" s="985"/>
      <c r="H25" s="985"/>
      <c r="I25" s="985"/>
    </row>
    <row r="26" spans="1:16" x14ac:dyDescent="0.25">
      <c r="A26" s="982"/>
    </row>
    <row r="27" spans="1:16" ht="18.75" x14ac:dyDescent="0.25">
      <c r="A27" s="982"/>
      <c r="B27" s="986" t="str">
        <f>D2</f>
        <v>SETZUNGSMESSUNG - Nullmessung</v>
      </c>
      <c r="C27" s="986"/>
      <c r="D27" s="986"/>
      <c r="E27" s="986"/>
      <c r="F27" s="986"/>
      <c r="G27" s="986"/>
      <c r="H27" s="986"/>
      <c r="I27" s="986"/>
    </row>
    <row r="28" spans="1:16" x14ac:dyDescent="0.25">
      <c r="A28" s="982"/>
    </row>
    <row r="29" spans="1:16" x14ac:dyDescent="0.25">
      <c r="A29" s="982"/>
      <c r="C29" s="611" t="s">
        <v>778</v>
      </c>
    </row>
    <row r="30" spans="1:16" x14ac:dyDescent="0.25">
      <c r="A30" s="982"/>
    </row>
    <row r="31" spans="1:16" x14ac:dyDescent="0.25">
      <c r="A31" s="982"/>
      <c r="C31" s="611" t="s">
        <v>46</v>
      </c>
      <c r="E31" s="755">
        <f>Gesamt!E14</f>
        <v>79.08</v>
      </c>
    </row>
    <row r="32" spans="1:16" x14ac:dyDescent="0.25">
      <c r="A32" s="982"/>
      <c r="C32" s="635"/>
    </row>
    <row r="33" spans="1:8" x14ac:dyDescent="0.25">
      <c r="A33" s="982"/>
      <c r="C33" s="898" t="str">
        <f xml:space="preserve"> VLOOKUP(C4,Konstante!Y36:AC37,5,FALSE)</f>
        <v>H = (3/Potenz(S;0,5) + (5,95 * S + 0,46 * P) * G * f) * IS + N</v>
      </c>
      <c r="E33" s="764"/>
    </row>
    <row r="34" spans="1:8" x14ac:dyDescent="0.25">
      <c r="A34" s="982"/>
      <c r="E34" s="764"/>
    </row>
    <row r="35" spans="1:8" x14ac:dyDescent="0.25">
      <c r="A35" s="982"/>
    </row>
    <row r="36" spans="1:8" x14ac:dyDescent="0.25">
      <c r="A36" s="982"/>
      <c r="B36" s="757"/>
      <c r="C36" s="611" t="str">
        <f>C4</f>
        <v>Nullmessung</v>
      </c>
    </row>
    <row r="37" spans="1:8" x14ac:dyDescent="0.25">
      <c r="A37" s="982"/>
      <c r="B37" s="757"/>
      <c r="C37" s="786"/>
      <c r="D37" s="787"/>
      <c r="E37" s="787"/>
      <c r="F37" s="788"/>
      <c r="G37" s="786"/>
      <c r="H37" s="786"/>
    </row>
    <row r="38" spans="1:8" x14ac:dyDescent="0.25">
      <c r="A38" s="982"/>
      <c r="C38" s="789" t="s">
        <v>330</v>
      </c>
      <c r="D38" s="790">
        <f>S_</f>
        <v>0</v>
      </c>
      <c r="E38" s="791" t="s">
        <v>372</v>
      </c>
      <c r="F38" s="753"/>
      <c r="G38" s="753"/>
    </row>
    <row r="39" spans="1:8" x14ac:dyDescent="0.25">
      <c r="A39" s="982"/>
      <c r="C39" s="792" t="s">
        <v>371</v>
      </c>
      <c r="D39" s="793">
        <f>P</f>
        <v>0</v>
      </c>
      <c r="E39" s="791" t="s">
        <v>370</v>
      </c>
      <c r="F39" s="753"/>
      <c r="G39" s="753"/>
    </row>
    <row r="40" spans="1:8" x14ac:dyDescent="0.25">
      <c r="A40" s="982"/>
      <c r="C40" s="792" t="s">
        <v>369</v>
      </c>
      <c r="D40" s="793">
        <f>f</f>
        <v>1.1499999999999999</v>
      </c>
      <c r="E40" s="791" t="str">
        <f>CONCATENATE("Geländeklasse und Schwierigkeitsstufe: ",E10)</f>
        <v>Geländeklasse und Schwierigkeitsstufe: Ib</v>
      </c>
      <c r="F40" s="753"/>
      <c r="G40" s="753"/>
    </row>
    <row r="41" spans="1:8" x14ac:dyDescent="0.25">
      <c r="A41" s="982"/>
      <c r="C41" s="792" t="s">
        <v>302</v>
      </c>
      <c r="D41" s="793">
        <f>G</f>
        <v>0.64090000000000003</v>
      </c>
      <c r="E41" s="791" t="str">
        <f>CONCATENATE("Standardabweichung Höhe: ", E12)</f>
        <v>Standardabweichung Höhe: 5mm</v>
      </c>
      <c r="F41" s="753"/>
      <c r="G41" s="753"/>
    </row>
    <row r="42" spans="1:8" x14ac:dyDescent="0.25">
      <c r="A42" s="982"/>
      <c r="C42" s="793" t="str">
        <f>IF(AND($M$6&gt;0,M9&gt;0),"4","")</f>
        <v/>
      </c>
      <c r="D42" s="793" t="str">
        <f t="shared" ref="D42" si="0">IF(AND($M$6&gt;0,M9&gt;0),D9,"")</f>
        <v/>
      </c>
      <c r="E42" s="753" t="str">
        <f>IF(AND($M$6&gt;0,M9&gt;0),F9,"")</f>
        <v/>
      </c>
      <c r="F42" s="753"/>
      <c r="G42" s="753"/>
    </row>
    <row r="43" spans="1:8" x14ac:dyDescent="0.25">
      <c r="A43" s="982"/>
      <c r="C43" s="633" t="s">
        <v>64</v>
      </c>
      <c r="D43" s="633"/>
      <c r="E43" s="633"/>
      <c r="F43" s="615">
        <f>IF(VSK&lt;&gt;0,((3/POWER(S_,0.5) + (VLOOKUP(C4,Konstante!Y36:AB37,3,FALSE) * S_ + VLOOKUP(C4,Konstante!Y36:AB37,4,FALSE) * P) * G * f)) * IS,0)</f>
        <v>0</v>
      </c>
    </row>
    <row r="44" spans="1:8" x14ac:dyDescent="0.25">
      <c r="A44" s="982"/>
    </row>
    <row r="45" spans="1:8" x14ac:dyDescent="0.25">
      <c r="A45" s="982"/>
      <c r="C45" s="611" t="str">
        <f>IF(AND(VSK&gt;0,C4=Konstante!Y37,H4&gt;1),CONCATENATE("insgesamt ", H4, " Folgemessungen: "),"")</f>
        <v/>
      </c>
      <c r="F45" s="765" t="str">
        <f>IF(AND(VSK&gt;0,C4=Konstante!Y37,H4&gt;1),H4*F43,"")</f>
        <v/>
      </c>
      <c r="G45" s="794"/>
    </row>
    <row r="46" spans="1:8" x14ac:dyDescent="0.25">
      <c r="A46" s="982"/>
    </row>
    <row r="47" spans="1:8" x14ac:dyDescent="0.25">
      <c r="A47" s="982"/>
      <c r="F47" s="795"/>
      <c r="G47" s="794"/>
    </row>
    <row r="48" spans="1:8" x14ac:dyDescent="0.25">
      <c r="A48" s="982"/>
      <c r="B48" s="633"/>
    </row>
    <row r="49" spans="1:9" x14ac:dyDescent="0.25">
      <c r="A49" s="982"/>
    </row>
    <row r="50" spans="1:9" x14ac:dyDescent="0.25">
      <c r="A50" s="982"/>
    </row>
    <row r="51" spans="1:9" x14ac:dyDescent="0.25">
      <c r="A51" s="982"/>
    </row>
    <row r="52" spans="1:9" x14ac:dyDescent="0.25">
      <c r="A52" s="982"/>
    </row>
    <row r="53" spans="1:9" x14ac:dyDescent="0.25">
      <c r="A53" s="982"/>
    </row>
    <row r="54" spans="1:9" x14ac:dyDescent="0.25">
      <c r="A54" s="982"/>
    </row>
    <row r="55" spans="1:9" x14ac:dyDescent="0.25">
      <c r="A55" s="982"/>
    </row>
    <row r="56" spans="1:9" x14ac:dyDescent="0.25">
      <c r="A56" s="982"/>
      <c r="B56" s="633"/>
      <c r="C56" s="611" t="str">
        <f>IF(AND(ZuAbschlag&lt;&gt;0,VSK&lt;&gt;0),"Zu-/Abschlag:","")</f>
        <v/>
      </c>
      <c r="E56" s="635" t="str">
        <f>IF(AND(ZuAbschlag&lt;&gt;0,VSK&lt;&gt;0),ZuAbschlag,"")</f>
        <v/>
      </c>
      <c r="F56" s="796" t="str">
        <f>IF(AND(ZuAbschlag&lt;&gt;0,VSK&lt;&gt;0),IF(AND(H4&gt;1,C4="Wiederholungsmessung"),E56*F45,E56*F43),"")</f>
        <v/>
      </c>
      <c r="G56" s="794" t="str">
        <f>IF(AND(ZuAbschlag&lt;&gt;0,VSK&lt;&gt;0,G16&lt;&gt;""),G16,"")</f>
        <v/>
      </c>
    </row>
    <row r="57" spans="1:9" ht="15.75" x14ac:dyDescent="0.25">
      <c r="A57" s="982"/>
      <c r="C57" s="611" t="str">
        <f>IF(AND(NK&lt;&gt;0,VSK&lt;&gt;0),"Nebenkosten:","")</f>
        <v/>
      </c>
      <c r="F57" s="796" t="str">
        <f>IF(AND(NK&lt;&gt;0,VSK&lt;&gt;0),NK,"")</f>
        <v/>
      </c>
      <c r="G57" s="794" t="str">
        <f>IF(AND(NK&lt;&gt;0,VSK&lt;&gt;0,G17&lt;&gt;""),G17,"")</f>
        <v/>
      </c>
      <c r="I57" s="650"/>
    </row>
    <row r="58" spans="1:9" x14ac:dyDescent="0.25">
      <c r="A58" s="982"/>
      <c r="C58" s="797"/>
      <c r="D58" s="797"/>
      <c r="E58" s="797"/>
      <c r="F58" s="797"/>
      <c r="G58" s="797"/>
      <c r="H58" s="797"/>
    </row>
    <row r="59" spans="1:9" x14ac:dyDescent="0.25">
      <c r="A59" s="982"/>
    </row>
    <row r="60" spans="1:9" ht="15.75" x14ac:dyDescent="0.25">
      <c r="A60" s="982"/>
      <c r="C60" s="650" t="s">
        <v>71</v>
      </c>
      <c r="D60" s="650"/>
      <c r="E60" s="650"/>
      <c r="F60" s="650"/>
      <c r="G60" s="980">
        <f>IF(VSK&gt;0,IF(AND(H4&gt;1,C4="Wiederholungsmessung"),SUM(F45,F56,F57),SUM(F43,F56,F57)),0)</f>
        <v>0</v>
      </c>
      <c r="H60" s="980"/>
    </row>
    <row r="61" spans="1:9" ht="15.75" x14ac:dyDescent="0.25">
      <c r="A61" s="982"/>
      <c r="B61" s="650"/>
    </row>
    <row r="62" spans="1:9" x14ac:dyDescent="0.25">
      <c r="A62" s="982"/>
    </row>
    <row r="63" spans="1:9" x14ac:dyDescent="0.25">
      <c r="A63" s="982"/>
    </row>
    <row r="64" spans="1:9" x14ac:dyDescent="0.25">
      <c r="A64" s="982"/>
    </row>
    <row r="65" spans="1:1" x14ac:dyDescent="0.25">
      <c r="A65" s="982"/>
    </row>
    <row r="66" spans="1:1" x14ac:dyDescent="0.25">
      <c r="A66" s="982"/>
    </row>
    <row r="67" spans="1:1" x14ac:dyDescent="0.25">
      <c r="A67" s="982"/>
    </row>
    <row r="68" spans="1:1" x14ac:dyDescent="0.25">
      <c r="A68" s="982"/>
    </row>
    <row r="69" spans="1:1" x14ac:dyDescent="0.25">
      <c r="A69" s="982"/>
    </row>
  </sheetData>
  <sheetProtection selectLockedCells="1"/>
  <mergeCells count="13">
    <mergeCell ref="B24:I24"/>
    <mergeCell ref="B25:I25"/>
    <mergeCell ref="B27:I27"/>
    <mergeCell ref="C4:D4"/>
    <mergeCell ref="A21:A69"/>
    <mergeCell ref="B22:I22"/>
    <mergeCell ref="B23:I23"/>
    <mergeCell ref="A1:A20"/>
    <mergeCell ref="D2:H2"/>
    <mergeCell ref="G16:H16"/>
    <mergeCell ref="G17:H17"/>
    <mergeCell ref="G19:H19"/>
    <mergeCell ref="G60:H60"/>
  </mergeCells>
  <dataValidations count="7">
    <dataValidation operator="greaterThan" allowBlank="1" showInputMessage="1" showErrorMessage="1" sqref="H4"/>
    <dataValidation type="whole" operator="greaterThan" allowBlank="1" showInputMessage="1" showErrorMessage="1" error="Wertebereich: 1 und größer" sqref="D7:D8">
      <formula1>0</formula1>
    </dataValidation>
    <dataValidation type="whole" operator="greaterThan" allowBlank="1" showInputMessage="1" showErrorMessage="1" error="Wertebereich: 1 und größer" sqref="D9">
      <formula1>-1</formula1>
    </dataValidation>
    <dataValidation type="decimal" allowBlank="1" showInputMessage="1" showErrorMessage="1" error="Zahl zwischen 0 und 2 eingeben" sqref="F6:F9">
      <formula1>0</formula1>
      <formula2>2</formula2>
    </dataValidation>
    <dataValidation type="decimal" operator="greaterThan" allowBlank="1" showInputMessage="1" showErrorMessage="1" error="Ganze Zahl größer 0 und kleiner 100 eingeben" sqref="D6">
      <formula1>0</formula1>
    </dataValidation>
    <dataValidation type="decimal" operator="greaterThanOrEqual" showInputMessage="1" showErrorMessage="1" sqref="E17">
      <formula1>-1000000</formula1>
    </dataValidation>
    <dataValidation type="decimal" operator="greaterThanOrEqual" showInputMessage="1" showErrorMessage="1" sqref="E16">
      <formula1>-1000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295C84C-1877-4917-B6D1-813003A25AE1}">
            <xm:f>$C$4=Konstante!$Y$37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H4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Konstante!$Y$40:$Y$48</xm:f>
          </x14:formula1>
          <xm:sqref>E10</xm:sqref>
        </x14:dataValidation>
        <x14:dataValidation type="list" allowBlank="1" showInputMessage="1" showErrorMessage="1">
          <x14:formula1>
            <xm:f>Konstante!$Y$36:$Y$37</xm:f>
          </x14:formula1>
          <xm:sqref>C4:D4</xm:sqref>
        </x14:dataValidation>
        <x14:dataValidation type="list" showInputMessage="1" showErrorMessage="1">
          <x14:formula1>
            <xm:f>Konstante!$AC$40:$AC$43</xm:f>
          </x14:formula1>
          <xm:sqref>E12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workbookViewId="0">
      <selection activeCell="D4" sqref="D4"/>
    </sheetView>
  </sheetViews>
  <sheetFormatPr baseColWidth="10" defaultRowHeight="15" x14ac:dyDescent="0.25"/>
  <cols>
    <col min="1" max="1" width="4" style="425" customWidth="1"/>
    <col min="2" max="2" width="6.7109375" style="425" customWidth="1"/>
    <col min="3" max="8" width="12.7109375" style="425" customWidth="1"/>
    <col min="9" max="9" width="5.7109375" style="425" customWidth="1"/>
    <col min="10" max="16384" width="11.42578125" style="425"/>
  </cols>
  <sheetData>
    <row r="1" spans="1:17" ht="15.75" customHeight="1" x14ac:dyDescent="0.25">
      <c r="A1" s="975" t="s">
        <v>35</v>
      </c>
      <c r="B1" s="474"/>
      <c r="C1" s="474"/>
      <c r="D1" s="474"/>
      <c r="E1" s="474"/>
      <c r="F1" s="474"/>
      <c r="G1" s="474"/>
      <c r="H1" s="474"/>
      <c r="I1" s="474"/>
      <c r="K1" s="137" t="s">
        <v>792</v>
      </c>
      <c r="L1" s="137"/>
      <c r="M1" s="137"/>
      <c r="N1" s="210">
        <f ca="1">CELL("ZEILE",B27)</f>
        <v>27</v>
      </c>
    </row>
    <row r="2" spans="1:17" ht="23.25" x14ac:dyDescent="0.25">
      <c r="A2" s="975"/>
      <c r="B2" s="475"/>
      <c r="C2" s="476" t="s">
        <v>36</v>
      </c>
      <c r="D2" s="995" t="s">
        <v>425</v>
      </c>
      <c r="E2" s="996"/>
      <c r="F2" s="996"/>
      <c r="G2" s="996"/>
      <c r="H2" s="997"/>
      <c r="I2" s="474"/>
      <c r="K2" s="268" t="s">
        <v>793</v>
      </c>
      <c r="L2" s="236"/>
      <c r="M2" s="236"/>
      <c r="N2" s="268">
        <f ca="1">CELL("ZEILE",G60)</f>
        <v>60</v>
      </c>
    </row>
    <row r="3" spans="1:17" ht="23.25" x14ac:dyDescent="0.25">
      <c r="A3" s="975"/>
      <c r="B3" s="475"/>
      <c r="C3" s="476"/>
      <c r="D3" s="495"/>
      <c r="E3" s="496"/>
      <c r="F3" s="496"/>
      <c r="G3" s="496"/>
      <c r="H3" s="497"/>
      <c r="I3" s="474"/>
      <c r="K3" s="268" t="s">
        <v>794</v>
      </c>
      <c r="L3" s="236"/>
      <c r="M3" s="236"/>
      <c r="N3" s="268">
        <f>F19</f>
        <v>0</v>
      </c>
    </row>
    <row r="4" spans="1:17" ht="15.75" customHeight="1" x14ac:dyDescent="0.25">
      <c r="A4" s="975"/>
      <c r="B4" s="397" t="str">
        <f>IF(AND(n&gt;=Ndp+Nds,n&lt;&gt;""),"?","")</f>
        <v/>
      </c>
      <c r="C4" s="516" t="s">
        <v>387</v>
      </c>
      <c r="D4" s="539"/>
      <c r="E4" s="536" t="s">
        <v>666</v>
      </c>
      <c r="F4" s="516"/>
      <c r="G4" s="663" t="str">
        <f>IF(AND(n&gt;=Ndp+Nds,n&lt;&gt;""),"Achtung: n muss kleiner Ndp+Nds sein!","")</f>
        <v/>
      </c>
      <c r="H4" s="516"/>
      <c r="I4" s="516"/>
    </row>
    <row r="5" spans="1:17" ht="15.75" x14ac:dyDescent="0.25">
      <c r="A5" s="975"/>
      <c r="B5" s="475"/>
      <c r="C5" s="516" t="s">
        <v>424</v>
      </c>
      <c r="D5" s="539"/>
      <c r="E5" s="536" t="s">
        <v>423</v>
      </c>
      <c r="F5" s="516"/>
      <c r="G5" s="516"/>
      <c r="H5" s="516"/>
      <c r="I5" s="516"/>
    </row>
    <row r="6" spans="1:17" ht="15.75" x14ac:dyDescent="0.25">
      <c r="A6" s="975"/>
      <c r="B6" s="475"/>
      <c r="C6" s="516" t="s">
        <v>422</v>
      </c>
      <c r="D6" s="539"/>
      <c r="E6" s="536" t="s">
        <v>421</v>
      </c>
      <c r="F6" s="516"/>
      <c r="G6" s="516"/>
      <c r="H6" s="516"/>
      <c r="I6" s="516"/>
    </row>
    <row r="7" spans="1:17" ht="15.75" x14ac:dyDescent="0.25">
      <c r="A7" s="975"/>
      <c r="B7" s="397" t="str">
        <f>IF(AND(Nd&gt;Ndp+Nds,Nd&lt;&gt;""),"?","")</f>
        <v/>
      </c>
      <c r="C7" s="516" t="s">
        <v>420</v>
      </c>
      <c r="D7" s="539"/>
      <c r="E7" s="536" t="s">
        <v>419</v>
      </c>
      <c r="F7" s="516"/>
      <c r="G7" s="516"/>
      <c r="H7" s="516"/>
      <c r="I7" s="516"/>
      <c r="K7" s="1016" t="s">
        <v>664</v>
      </c>
      <c r="L7" s="1017"/>
      <c r="M7" s="1017"/>
      <c r="N7" s="1017"/>
      <c r="O7" s="1017"/>
      <c r="P7" s="1017"/>
      <c r="Q7" s="1018"/>
    </row>
    <row r="8" spans="1:17" ht="15.75" x14ac:dyDescent="0.25">
      <c r="A8" s="975"/>
      <c r="B8" s="397" t="str">
        <f>IF(AND(Ndh&gt;Ndp+Nds,Ndh&lt;&gt;""),"?","")</f>
        <v/>
      </c>
      <c r="C8" s="516" t="s">
        <v>418</v>
      </c>
      <c r="D8" s="539"/>
      <c r="E8" s="536" t="s">
        <v>417</v>
      </c>
      <c r="F8" s="516"/>
      <c r="G8" s="516"/>
      <c r="H8" s="516"/>
      <c r="I8" s="516"/>
      <c r="K8" s="1019"/>
      <c r="L8" s="1020"/>
      <c r="M8" s="1020"/>
      <c r="N8" s="1020"/>
      <c r="O8" s="1020"/>
      <c r="P8" s="1020"/>
      <c r="Q8" s="1021"/>
    </row>
    <row r="9" spans="1:17" ht="15.75" x14ac:dyDescent="0.25">
      <c r="A9" s="975"/>
      <c r="B9" s="475"/>
      <c r="C9" s="516" t="s">
        <v>416</v>
      </c>
      <c r="D9" s="538">
        <f>VLOOKUP(E9,Konstante!C37:F39,3,FALSE)</f>
        <v>0</v>
      </c>
      <c r="E9" s="535" t="s">
        <v>412</v>
      </c>
      <c r="F9" s="534" t="s">
        <v>415</v>
      </c>
      <c r="G9" s="516"/>
      <c r="H9" s="516"/>
      <c r="I9" s="516"/>
      <c r="K9" s="1022"/>
      <c r="L9" s="1023"/>
      <c r="M9" s="1023"/>
      <c r="N9" s="1023"/>
      <c r="O9" s="1023"/>
      <c r="P9" s="1023"/>
      <c r="Q9" s="1024"/>
    </row>
    <row r="10" spans="1:17" ht="15.75" x14ac:dyDescent="0.25">
      <c r="A10" s="975"/>
      <c r="B10" s="475"/>
      <c r="C10" s="516" t="s">
        <v>414</v>
      </c>
      <c r="D10" s="538">
        <f>VLOOKUP(E10,Konstante!C37:F39,4,FALSE)</f>
        <v>0</v>
      </c>
      <c r="E10" s="535" t="s">
        <v>412</v>
      </c>
      <c r="F10" s="534" t="s">
        <v>413</v>
      </c>
      <c r="G10" s="516"/>
      <c r="H10" s="516"/>
      <c r="I10" s="516"/>
      <c r="K10" s="513"/>
      <c r="M10" s="507"/>
    </row>
    <row r="11" spans="1:17" ht="15.75" x14ac:dyDescent="0.25">
      <c r="A11" s="975"/>
      <c r="B11" s="475"/>
      <c r="C11" s="516" t="s">
        <v>155</v>
      </c>
      <c r="D11" s="538">
        <f>VLOOKUP(E11,Konstante!C37:F39,2,FALSE)</f>
        <v>0</v>
      </c>
      <c r="E11" s="535" t="s">
        <v>412</v>
      </c>
      <c r="F11" s="534" t="s">
        <v>375</v>
      </c>
      <c r="G11" s="516"/>
      <c r="H11" s="516"/>
      <c r="I11" s="516"/>
      <c r="K11" s="513"/>
      <c r="L11" s="513"/>
      <c r="N11" s="513"/>
      <c r="O11" s="513"/>
    </row>
    <row r="12" spans="1:17" ht="15.75" x14ac:dyDescent="0.25">
      <c r="A12" s="975"/>
      <c r="B12" s="475"/>
      <c r="C12" s="516" t="s">
        <v>226</v>
      </c>
      <c r="D12" s="538">
        <f>VLOOKUP(E12,Konstante!C41:E45,3,FALSE)</f>
        <v>1</v>
      </c>
      <c r="E12" s="1025" t="s">
        <v>609</v>
      </c>
      <c r="F12" s="1026"/>
      <c r="G12" s="536" t="s">
        <v>410</v>
      </c>
      <c r="H12" s="537"/>
      <c r="I12" s="537"/>
    </row>
    <row r="13" spans="1:17" ht="15.75" x14ac:dyDescent="0.25">
      <c r="A13" s="975"/>
      <c r="B13" s="474"/>
      <c r="C13" s="516" t="s">
        <v>409</v>
      </c>
      <c r="D13" s="538">
        <f>VLOOKUP(E13,Konstante!K36:N45,4,FALSE)</f>
        <v>1</v>
      </c>
      <c r="E13" s="1027" t="s">
        <v>599</v>
      </c>
      <c r="F13" s="1028"/>
      <c r="G13" s="1029"/>
      <c r="H13" s="534" t="s">
        <v>407</v>
      </c>
      <c r="I13" s="516"/>
      <c r="K13" s="513"/>
      <c r="L13" s="513"/>
      <c r="M13" s="518"/>
      <c r="N13" s="513"/>
      <c r="O13" s="513"/>
      <c r="P13" s="513"/>
    </row>
    <row r="14" spans="1:17" ht="15.75" x14ac:dyDescent="0.25">
      <c r="A14" s="975"/>
      <c r="B14" s="475"/>
      <c r="C14" s="516"/>
      <c r="D14" s="537"/>
      <c r="E14" s="516"/>
      <c r="F14" s="516"/>
      <c r="G14" s="516"/>
      <c r="H14" s="516"/>
      <c r="I14" s="516"/>
      <c r="K14" s="513"/>
      <c r="L14" s="513"/>
      <c r="M14" s="518"/>
      <c r="N14" s="513"/>
      <c r="O14" s="513"/>
      <c r="P14" s="513"/>
    </row>
    <row r="15" spans="1:17" ht="15.75" x14ac:dyDescent="0.25">
      <c r="A15" s="975"/>
      <c r="B15" s="475"/>
      <c r="C15" s="516"/>
      <c r="D15" s="516"/>
      <c r="E15" s="516"/>
      <c r="F15" s="516"/>
      <c r="G15" s="712" t="s">
        <v>717</v>
      </c>
      <c r="H15" s="516"/>
      <c r="I15" s="516"/>
      <c r="K15" s="513"/>
      <c r="L15" s="513"/>
      <c r="M15" s="518"/>
      <c r="N15" s="513"/>
      <c r="O15" s="513"/>
      <c r="P15" s="513"/>
    </row>
    <row r="16" spans="1:17" ht="15.75" x14ac:dyDescent="0.25">
      <c r="A16" s="975"/>
      <c r="B16" s="475"/>
      <c r="C16" s="476" t="s">
        <v>34</v>
      </c>
      <c r="D16" s="476"/>
      <c r="E16" s="489"/>
      <c r="F16" s="476"/>
      <c r="G16" s="1000"/>
      <c r="H16" s="1001"/>
      <c r="I16" s="476"/>
      <c r="K16" s="513"/>
      <c r="L16" s="513"/>
      <c r="M16" s="513"/>
      <c r="N16" s="513"/>
      <c r="O16" s="513"/>
      <c r="P16" s="513"/>
    </row>
    <row r="17" spans="1:16" ht="15.75" x14ac:dyDescent="0.25">
      <c r="A17" s="975"/>
      <c r="B17" s="475"/>
      <c r="C17" s="476" t="s">
        <v>1</v>
      </c>
      <c r="D17" s="476"/>
      <c r="E17" s="490"/>
      <c r="F17" s="476"/>
      <c r="G17" s="998"/>
      <c r="H17" s="998"/>
      <c r="I17" s="476"/>
    </row>
    <row r="18" spans="1:16" ht="15.75" x14ac:dyDescent="0.25">
      <c r="A18" s="975"/>
      <c r="B18" s="475"/>
      <c r="C18" s="476"/>
      <c r="D18" s="476"/>
      <c r="E18" s="491"/>
      <c r="F18" s="476"/>
      <c r="G18" s="475"/>
      <c r="H18" s="475"/>
      <c r="I18" s="474"/>
    </row>
    <row r="19" spans="1:16" ht="21" x14ac:dyDescent="0.35">
      <c r="A19" s="975"/>
      <c r="B19" s="474"/>
      <c r="C19" s="492" t="str">
        <f>IF(VSK=0, "UNVOLLSTÄNDIG AUSGEFÜLLT!","")</f>
        <v>UNVOLLSTÄNDIG AUSGEFÜLLT!</v>
      </c>
      <c r="D19" s="474"/>
      <c r="E19" s="474"/>
      <c r="F19" s="687">
        <f>IF(AND(ISNUMBER(n),ISNUMBER(Ndp),ISNUMBER(Nds),ISNUMBER(Nd),ISNUMBER(Ndh),ISNUMBER(Es),ISNUMBER(Ed),ISNUMBER(f),ISNUMBER(G),ISNUMBER(D)),1,0)</f>
        <v>0</v>
      </c>
      <c r="G19" s="999" t="str">
        <f>IF(VSK&lt;&gt;0, G60,"")</f>
        <v/>
      </c>
      <c r="H19" s="999"/>
      <c r="I19" s="474"/>
      <c r="P19" s="513"/>
    </row>
    <row r="20" spans="1:16" ht="15.75" x14ac:dyDescent="0.25">
      <c r="A20" s="975"/>
      <c r="B20" s="474"/>
      <c r="C20" s="474"/>
      <c r="D20" s="474"/>
      <c r="E20" s="474"/>
      <c r="F20" s="474"/>
      <c r="G20" s="474"/>
      <c r="H20" s="474"/>
      <c r="I20" s="474"/>
    </row>
    <row r="21" spans="1:16" ht="15" customHeight="1" x14ac:dyDescent="0.25">
      <c r="A21" s="973" t="s">
        <v>72</v>
      </c>
    </row>
    <row r="22" spans="1:16" x14ac:dyDescent="0.25">
      <c r="A22" s="973"/>
      <c r="B22" s="974" t="str">
        <f>CONCATENATE(Gesamt!C2, ": ", Gesamt!E2)</f>
        <v xml:space="preserve">Projekt: </v>
      </c>
      <c r="C22" s="974"/>
      <c r="D22" s="974"/>
      <c r="E22" s="974"/>
      <c r="F22" s="974"/>
      <c r="G22" s="974"/>
      <c r="H22" s="974"/>
      <c r="I22" s="974"/>
    </row>
    <row r="23" spans="1:16" x14ac:dyDescent="0.25">
      <c r="A23" s="973"/>
      <c r="B23" s="969" t="str">
        <f>CONCATENATE(Gesamt!C4, ": ", Gesamt!E4, IF(Gesamt!E5&lt;&gt;""," - ",""), IF(Gesamt!E5&lt;&gt;"",Gesamt!E5,""), IF(Gesamt!E6&lt;&gt;""," - GZ. ",""), IF(Gesamt!E6&lt;&gt;"",Gesamt!E6,""),)</f>
        <v xml:space="preserve">Auftraggeber: </v>
      </c>
      <c r="C23" s="969"/>
      <c r="D23" s="969"/>
      <c r="E23" s="969"/>
      <c r="F23" s="969"/>
      <c r="G23" s="969"/>
      <c r="H23" s="969"/>
      <c r="I23" s="969"/>
    </row>
    <row r="24" spans="1:16" x14ac:dyDescent="0.25">
      <c r="A24" s="973"/>
      <c r="B24" s="969" t="str">
        <f>CONCATENATE(Gesamt!C9, ": ",Gesamt!E9,  IF(Gesamt!C10&lt;&gt;""," - ",""), IF(Gesamt!C10&lt;&gt;"",Gesamt!E10,""), IF(Gesamt!C11&lt;&gt;""," - GZ. ",""), IF(Gesamt!C11&lt;&gt;"",Gesamt!E11,""), )</f>
        <v xml:space="preserve">Bieter:  -  - GZ. </v>
      </c>
      <c r="C24" s="969"/>
      <c r="D24" s="969"/>
      <c r="E24" s="969"/>
      <c r="F24" s="969"/>
      <c r="G24" s="969"/>
      <c r="H24" s="969"/>
      <c r="I24" s="969"/>
    </row>
    <row r="25" spans="1:16" x14ac:dyDescent="0.25">
      <c r="A25" s="973"/>
      <c r="B25" s="969" t="s">
        <v>42</v>
      </c>
      <c r="C25" s="969"/>
      <c r="D25" s="969"/>
      <c r="E25" s="969"/>
      <c r="F25" s="969"/>
      <c r="G25" s="969"/>
      <c r="H25" s="969"/>
      <c r="I25" s="969"/>
    </row>
    <row r="26" spans="1:16" x14ac:dyDescent="0.25">
      <c r="A26" s="973"/>
    </row>
    <row r="27" spans="1:16" ht="18.75" x14ac:dyDescent="0.25">
      <c r="A27" s="973"/>
      <c r="B27" s="968" t="str">
        <f>D2</f>
        <v>DETAILPUNKTE</v>
      </c>
      <c r="C27" s="968"/>
      <c r="D27" s="968"/>
      <c r="E27" s="968"/>
      <c r="F27" s="968"/>
      <c r="G27" s="968"/>
      <c r="H27" s="968"/>
      <c r="I27" s="968"/>
    </row>
    <row r="28" spans="1:16" x14ac:dyDescent="0.25">
      <c r="A28" s="973"/>
    </row>
    <row r="29" spans="1:16" ht="15.75" x14ac:dyDescent="0.25">
      <c r="A29" s="973"/>
      <c r="C29" s="433" t="str">
        <f>CONCATENATE("LB_VG, Pos. ", VLOOKUP(E13,Konstante!K36:T45,5,FALSE))</f>
        <v>LB_VG, Pos. 4.4.1,  Deformationsmessung Lage und Höhe</v>
      </c>
    </row>
    <row r="30" spans="1:16" x14ac:dyDescent="0.25">
      <c r="A30" s="973"/>
    </row>
    <row r="31" spans="1:16" x14ac:dyDescent="0.25">
      <c r="A31" s="973"/>
      <c r="C31" s="425" t="s">
        <v>46</v>
      </c>
      <c r="E31" s="170">
        <f>Gesamt!E14</f>
        <v>79.08</v>
      </c>
    </row>
    <row r="32" spans="1:16" x14ac:dyDescent="0.25">
      <c r="A32" s="973"/>
      <c r="C32" s="444"/>
    </row>
    <row r="33" spans="1:8" x14ac:dyDescent="0.25">
      <c r="A33" s="973"/>
      <c r="C33" s="543" t="s">
        <v>406</v>
      </c>
      <c r="D33" s="434" t="s">
        <v>405</v>
      </c>
      <c r="E33" s="519"/>
    </row>
    <row r="34" spans="1:8" x14ac:dyDescent="0.25">
      <c r="A34" s="973"/>
      <c r="D34" s="434" t="s">
        <v>665</v>
      </c>
      <c r="E34" s="519"/>
    </row>
    <row r="35" spans="1:8" x14ac:dyDescent="0.25">
      <c r="A35" s="973"/>
    </row>
    <row r="36" spans="1:8" ht="15.75" x14ac:dyDescent="0.25">
      <c r="A36" s="973"/>
      <c r="C36" s="540" t="s">
        <v>381</v>
      </c>
      <c r="D36" s="539">
        <f>n</f>
        <v>0</v>
      </c>
      <c r="E36" s="542" t="s">
        <v>404</v>
      </c>
    </row>
    <row r="37" spans="1:8" ht="15.75" x14ac:dyDescent="0.25">
      <c r="A37" s="973"/>
      <c r="C37" s="540" t="s">
        <v>403</v>
      </c>
      <c r="D37" s="539">
        <f>Ndp</f>
        <v>0</v>
      </c>
      <c r="E37" s="542" t="s">
        <v>402</v>
      </c>
    </row>
    <row r="38" spans="1:8" ht="15.75" x14ac:dyDescent="0.25">
      <c r="A38" s="973"/>
      <c r="C38" s="540" t="s">
        <v>401</v>
      </c>
      <c r="D38" s="539">
        <f>Nds</f>
        <v>0</v>
      </c>
      <c r="E38" s="542" t="s">
        <v>400</v>
      </c>
      <c r="F38" s="530"/>
      <c r="G38" s="528"/>
    </row>
    <row r="39" spans="1:8" ht="15.75" x14ac:dyDescent="0.25">
      <c r="A39" s="973"/>
      <c r="C39" s="540" t="s">
        <v>399</v>
      </c>
      <c r="D39" s="539">
        <f>Nd</f>
        <v>0</v>
      </c>
      <c r="E39" s="542" t="s">
        <v>398</v>
      </c>
      <c r="H39" s="528"/>
    </row>
    <row r="40" spans="1:8" ht="15.75" x14ac:dyDescent="0.25">
      <c r="A40" s="973"/>
      <c r="C40" s="540" t="s">
        <v>397</v>
      </c>
      <c r="D40" s="539">
        <f>Ndh</f>
        <v>0</v>
      </c>
      <c r="E40" s="542" t="s">
        <v>396</v>
      </c>
    </row>
    <row r="41" spans="1:8" ht="15.75" x14ac:dyDescent="0.25">
      <c r="A41" s="973"/>
      <c r="C41" s="540" t="s">
        <v>395</v>
      </c>
      <c r="D41" s="541">
        <f>Es</f>
        <v>0</v>
      </c>
      <c r="E41" s="542" t="str">
        <f>CONCATENATE("Erreichbarkeit der Standpunkte: ", E9)</f>
        <v>Erreichbarkeit der Standpunkte: einfach</v>
      </c>
    </row>
    <row r="42" spans="1:8" ht="15.75" x14ac:dyDescent="0.25">
      <c r="A42" s="973"/>
      <c r="C42" s="540" t="s">
        <v>394</v>
      </c>
      <c r="D42" s="541">
        <f>Ed</f>
        <v>0</v>
      </c>
      <c r="E42" s="542" t="str">
        <f>CONCATENATE("Erreichbarkeit der Detailpunkte: ",E10)</f>
        <v>Erreichbarkeit der Detailpunkte: einfach</v>
      </c>
    </row>
    <row r="43" spans="1:8" ht="15.75" x14ac:dyDescent="0.25">
      <c r="A43" s="973"/>
      <c r="C43" s="540" t="s">
        <v>369</v>
      </c>
      <c r="D43" s="541">
        <f>f</f>
        <v>0</v>
      </c>
      <c r="E43" s="542" t="str">
        <f>CONCATENATE("Geländeklasse und Schwierigkeitsstufe: ",E11)</f>
        <v>Geländeklasse und Schwierigkeitsstufe: einfach</v>
      </c>
    </row>
    <row r="44" spans="1:8" ht="15.75" x14ac:dyDescent="0.25">
      <c r="A44" s="973"/>
      <c r="C44" s="540" t="s">
        <v>316</v>
      </c>
      <c r="D44" s="541">
        <f>G</f>
        <v>1</v>
      </c>
      <c r="E44" s="542" t="str">
        <f>CONCATENATE("Standardabweichung Lage/Höhe: ", E12)</f>
        <v>Standardabweichung Lage/Höhe: 3mm/5mm</v>
      </c>
    </row>
    <row r="45" spans="1:8" ht="15.75" x14ac:dyDescent="0.25">
      <c r="A45" s="973"/>
      <c r="C45" s="540" t="s">
        <v>393</v>
      </c>
      <c r="D45" s="541">
        <f>D</f>
        <v>1</v>
      </c>
      <c r="E45" s="542" t="str">
        <f>CONCATENATE("Darstellungsfaktor (",E13,")")</f>
        <v>Darstellungsfaktor (Deformationsmessung)</v>
      </c>
    </row>
    <row r="46" spans="1:8" x14ac:dyDescent="0.25">
      <c r="A46" s="973"/>
    </row>
    <row r="47" spans="1:8" x14ac:dyDescent="0.25">
      <c r="A47" s="973"/>
    </row>
    <row r="48" spans="1:8" x14ac:dyDescent="0.25">
      <c r="A48" s="973"/>
      <c r="C48" s="428" t="s">
        <v>64</v>
      </c>
      <c r="D48" s="428"/>
      <c r="E48" s="428"/>
      <c r="F48" s="467">
        <f>IF(VSK&lt;&gt;0,(12.145+(0.847*POWER(n,0.4)*(1+Es)+(0.42*Ndp+0.2555*Nd+0.056*Ndh)*(1+Ed)+0.2625*Nds)*POWER(n/((Ndp+Nds)/15),0.4))*G*(1+f)*D*IS,0)</f>
        <v>0</v>
      </c>
      <c r="G48" s="426"/>
    </row>
    <row r="49" spans="1:8" x14ac:dyDescent="0.25">
      <c r="A49" s="973"/>
      <c r="F49" s="436"/>
      <c r="G49" s="426"/>
    </row>
    <row r="50" spans="1:8" x14ac:dyDescent="0.25">
      <c r="A50" s="973"/>
    </row>
    <row r="51" spans="1:8" x14ac:dyDescent="0.25">
      <c r="A51" s="973"/>
    </row>
    <row r="52" spans="1:8" x14ac:dyDescent="0.25">
      <c r="A52" s="973"/>
    </row>
    <row r="53" spans="1:8" x14ac:dyDescent="0.25">
      <c r="A53" s="973"/>
    </row>
    <row r="54" spans="1:8" x14ac:dyDescent="0.25">
      <c r="A54" s="973"/>
    </row>
    <row r="55" spans="1:8" x14ac:dyDescent="0.25">
      <c r="A55" s="973"/>
      <c r="B55" s="428"/>
      <c r="C55" s="425" t="str">
        <f>IF(AND(ZuAbschlag&lt;&gt;0,VSK&lt;&gt;0),"Zu-/Abschlag:","")</f>
        <v/>
      </c>
      <c r="E55" s="444" t="str">
        <f>IF(AND(ZuAbschlag&lt;&gt;0,VSK&lt;&gt;0),ZuAbschlag,"")</f>
        <v/>
      </c>
      <c r="F55" s="446" t="str">
        <f>IF(AND(ZuAbschlag&lt;&gt;0,VSK&lt;&gt;0),E55*F48,"")</f>
        <v/>
      </c>
      <c r="G55" s="426" t="str">
        <f>IF(AND(ZuAbschlag&lt;&gt;0,VSK&lt;&gt;0,G16&lt;&gt;""),G16,"")</f>
        <v/>
      </c>
    </row>
    <row r="56" spans="1:8" x14ac:dyDescent="0.25">
      <c r="A56" s="973"/>
    </row>
    <row r="57" spans="1:8" x14ac:dyDescent="0.25">
      <c r="A57" s="973"/>
      <c r="C57" s="425" t="str">
        <f>IF(AND(NK&lt;&gt;0,VSK&lt;&gt;0),"Nebenkosten:","")</f>
        <v/>
      </c>
      <c r="F57" s="446" t="str">
        <f>IF(AND(NK&lt;&gt;0,VSK&lt;&gt;0),NK,"")</f>
        <v/>
      </c>
      <c r="G57" s="426" t="str">
        <f>IF(AND(NK&lt;&gt;0,VSK&lt;&gt;0,G17&lt;&gt;""),G17,"")</f>
        <v/>
      </c>
    </row>
    <row r="58" spans="1:8" x14ac:dyDescent="0.25">
      <c r="A58" s="973"/>
    </row>
    <row r="59" spans="1:8" x14ac:dyDescent="0.25">
      <c r="A59" s="973"/>
    </row>
    <row r="60" spans="1:8" ht="15.75" x14ac:dyDescent="0.25">
      <c r="A60" s="973"/>
      <c r="C60" s="445" t="s">
        <v>71</v>
      </c>
      <c r="D60" s="445"/>
      <c r="E60" s="445"/>
      <c r="F60" s="445"/>
      <c r="G60" s="967">
        <f>IF(VSK&gt;0,SUM(F48,F55,F57),0)</f>
        <v>0</v>
      </c>
      <c r="H60" s="967"/>
    </row>
    <row r="61" spans="1:8" ht="15.75" x14ac:dyDescent="0.25">
      <c r="A61" s="973"/>
      <c r="B61" s="445"/>
    </row>
    <row r="62" spans="1:8" x14ac:dyDescent="0.25">
      <c r="A62" s="973"/>
    </row>
    <row r="63" spans="1:8" x14ac:dyDescent="0.25">
      <c r="A63" s="973"/>
    </row>
    <row r="64" spans="1:8" x14ac:dyDescent="0.25">
      <c r="A64" s="973"/>
    </row>
    <row r="65" spans="1:1" x14ac:dyDescent="0.25">
      <c r="A65" s="973"/>
    </row>
    <row r="66" spans="1:1" x14ac:dyDescent="0.25">
      <c r="A66" s="973"/>
    </row>
    <row r="67" spans="1:1" x14ac:dyDescent="0.25">
      <c r="A67" s="973"/>
    </row>
    <row r="68" spans="1:1" x14ac:dyDescent="0.25">
      <c r="A68" s="973"/>
    </row>
    <row r="69" spans="1:1" x14ac:dyDescent="0.25">
      <c r="A69" s="973"/>
    </row>
  </sheetData>
  <mergeCells count="15">
    <mergeCell ref="K7:Q9"/>
    <mergeCell ref="B27:I27"/>
    <mergeCell ref="A1:A20"/>
    <mergeCell ref="D2:H2"/>
    <mergeCell ref="G16:H16"/>
    <mergeCell ref="G17:H17"/>
    <mergeCell ref="G19:H19"/>
    <mergeCell ref="A21:A69"/>
    <mergeCell ref="B22:I22"/>
    <mergeCell ref="B23:I23"/>
    <mergeCell ref="B24:I24"/>
    <mergeCell ref="B25:I25"/>
    <mergeCell ref="E12:F12"/>
    <mergeCell ref="E13:G13"/>
    <mergeCell ref="G60:H60"/>
  </mergeCells>
  <dataValidations count="4">
    <dataValidation type="whole" operator="greaterThan" allowBlank="1" showInputMessage="1" showErrorMessage="1" error="Wertebereich: 1 und größer" sqref="D5:D8">
      <formula1>-1</formula1>
    </dataValidation>
    <dataValidation type="whole" operator="greaterThan" allowBlank="1" showInputMessage="1" showErrorMessage="1" error="Wertebereich: 1 und größer" sqref="D4">
      <formula1>0</formula1>
    </dataValidation>
    <dataValidation type="decimal" operator="greaterThan" showInputMessage="1" showErrorMessage="1" sqref="E16">
      <formula1>-1000</formula1>
    </dataValidation>
    <dataValidation type="decimal" operator="greaterThanOrEqual" showInputMessage="1" showErrorMessage="1" sqref="E17">
      <formula1>-1000000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&amp;L&amp;9&amp;F, &amp;A&amp;R&amp;9&amp;D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Konstante!$C$37:$C$39</xm:f>
          </x14:formula1>
          <xm:sqref>E9:E11</xm:sqref>
        </x14:dataValidation>
        <x14:dataValidation type="list" showInputMessage="1" showErrorMessage="1">
          <x14:formula1>
            <xm:f>Konstante!$C$41:$C$45</xm:f>
          </x14:formula1>
          <xm:sqref>E12:F12</xm:sqref>
        </x14:dataValidation>
        <x14:dataValidation type="list" allowBlank="1" showInputMessage="1" showErrorMessage="1">
          <x14:formula1>
            <xm:f>Konstante!$K$36:$K$45</xm:f>
          </x14:formula1>
          <xm:sqref>E13:G13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177</vt:i4>
      </vt:variant>
    </vt:vector>
  </HeadingPairs>
  <TitlesOfParts>
    <vt:vector size="206" baseType="lpstr">
      <vt:lpstr>Inhaltsverzeichnis</vt:lpstr>
      <vt:lpstr>Gesamt</vt:lpstr>
      <vt:lpstr>3.1</vt:lpstr>
      <vt:lpstr>4.1.x</vt:lpstr>
      <vt:lpstr>4.1.3</vt:lpstr>
      <vt:lpstr>4.2</vt:lpstr>
      <vt:lpstr>4.3</vt:lpstr>
      <vt:lpstr>4.4.2</vt:lpstr>
      <vt:lpstr>4.4.x</vt:lpstr>
      <vt:lpstr>4.5</vt:lpstr>
      <vt:lpstr>4.6</vt:lpstr>
      <vt:lpstr>4.7.1</vt:lpstr>
      <vt:lpstr>4.7.2</vt:lpstr>
      <vt:lpstr>4.7.3</vt:lpstr>
      <vt:lpstr>4.7.4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5.1</vt:lpstr>
      <vt:lpstr>6.1</vt:lpstr>
      <vt:lpstr>6.2</vt:lpstr>
      <vt:lpstr>6.3</vt:lpstr>
      <vt:lpstr>DUMMY</vt:lpstr>
      <vt:lpstr>Konstante</vt:lpstr>
      <vt:lpstr>'6.1'!_Ref295723403</vt:lpstr>
      <vt:lpstr>'4.10'!_s1</vt:lpstr>
      <vt:lpstr>'4.10'!_s2</vt:lpstr>
      <vt:lpstr>'4.10'!_s3</vt:lpstr>
      <vt:lpstr>'4.1.x'!A</vt:lpstr>
      <vt:lpstr>'4.10'!Abminderungsfaktor</vt:lpstr>
      <vt:lpstr>'4.13'!AnzahlPasspunkte</vt:lpstr>
      <vt:lpstr>'4.1.3'!Art</vt:lpstr>
      <vt:lpstr>'4.4.x'!D</vt:lpstr>
      <vt:lpstr>'3.1'!Druckbereich</vt:lpstr>
      <vt:lpstr>'4.1.3'!Druckbereich</vt:lpstr>
      <vt:lpstr>'4.1.x'!Druckbereich</vt:lpstr>
      <vt:lpstr>'4.10'!Druckbereich</vt:lpstr>
      <vt:lpstr>'4.11'!Druckbereich</vt:lpstr>
      <vt:lpstr>'4.12'!Druckbereich</vt:lpstr>
      <vt:lpstr>'4.13'!Druckbereich</vt:lpstr>
      <vt:lpstr>'4.14'!Druckbereich</vt:lpstr>
      <vt:lpstr>'4.15'!Druckbereich</vt:lpstr>
      <vt:lpstr>'4.2'!Druckbereich</vt:lpstr>
      <vt:lpstr>'4.3'!Druckbereich</vt:lpstr>
      <vt:lpstr>'4.4.2'!Druckbereich</vt:lpstr>
      <vt:lpstr>'4.4.x'!Druckbereich</vt:lpstr>
      <vt:lpstr>'4.5'!Druckbereich</vt:lpstr>
      <vt:lpstr>'4.6'!Druckbereich</vt:lpstr>
      <vt:lpstr>'4.7.1'!Druckbereich</vt:lpstr>
      <vt:lpstr>'4.7.2'!Druckbereich</vt:lpstr>
      <vt:lpstr>'4.7.3'!Druckbereich</vt:lpstr>
      <vt:lpstr>'4.7.4'!Druckbereich</vt:lpstr>
      <vt:lpstr>'4.8'!Druckbereich</vt:lpstr>
      <vt:lpstr>'4.9'!Druckbereich</vt:lpstr>
      <vt:lpstr>'5.1'!Druckbereich</vt:lpstr>
      <vt:lpstr>'6.1'!Druckbereich</vt:lpstr>
      <vt:lpstr>'6.2'!Druckbereich</vt:lpstr>
      <vt:lpstr>'6.3'!Druckbereich</vt:lpstr>
      <vt:lpstr>DUMMY!Druckbereich</vt:lpstr>
      <vt:lpstr>Gesamt!Druckbereich</vt:lpstr>
      <vt:lpstr>'3.1'!E</vt:lpstr>
      <vt:lpstr>'4.1.x'!E</vt:lpstr>
      <vt:lpstr>'4.4.x'!Ed</vt:lpstr>
      <vt:lpstr>'4.4.x'!Es</vt:lpstr>
      <vt:lpstr>'3.1'!F</vt:lpstr>
      <vt:lpstr>'4.1.3'!f</vt:lpstr>
      <vt:lpstr>'4.2'!f</vt:lpstr>
      <vt:lpstr>'4.4.2'!f</vt:lpstr>
      <vt:lpstr>'4.4.x'!f</vt:lpstr>
      <vt:lpstr>'4.6'!f</vt:lpstr>
      <vt:lpstr>'4.10'!F1_</vt:lpstr>
      <vt:lpstr>'4.10'!F2_</vt:lpstr>
      <vt:lpstr>'4.10'!F3_</vt:lpstr>
      <vt:lpstr>'4.10'!F4_</vt:lpstr>
      <vt:lpstr>'4.10'!F5_</vt:lpstr>
      <vt:lpstr>'4.10'!F6_</vt:lpstr>
      <vt:lpstr>'4.1.x'!G</vt:lpstr>
      <vt:lpstr>'4.2'!G</vt:lpstr>
      <vt:lpstr>'4.4.2'!G</vt:lpstr>
      <vt:lpstr>'4.4.x'!G</vt:lpstr>
      <vt:lpstr>'4.6'!G</vt:lpstr>
      <vt:lpstr>'4.1.x'!h</vt:lpstr>
      <vt:lpstr>'4.10'!Ha</vt:lpstr>
      <vt:lpstr>'4.10'!Hb</vt:lpstr>
      <vt:lpstr>'4.10'!Hc</vt:lpstr>
      <vt:lpstr>'3.1'!IS</vt:lpstr>
      <vt:lpstr>'4.1.3'!IS</vt:lpstr>
      <vt:lpstr>'4.10'!IS</vt:lpstr>
      <vt:lpstr>'4.13'!IS</vt:lpstr>
      <vt:lpstr>'4.14'!IS</vt:lpstr>
      <vt:lpstr>'4.2'!IS</vt:lpstr>
      <vt:lpstr>'4.3'!IS</vt:lpstr>
      <vt:lpstr>'4.4.2'!IS</vt:lpstr>
      <vt:lpstr>'4.4.x'!IS</vt:lpstr>
      <vt:lpstr>'4.5'!IS</vt:lpstr>
      <vt:lpstr>'4.6'!IS</vt:lpstr>
      <vt:lpstr>'5.1'!IS</vt:lpstr>
      <vt:lpstr>'6.1'!IS</vt:lpstr>
      <vt:lpstr>'6.2'!IS</vt:lpstr>
      <vt:lpstr>'6.3'!IS</vt:lpstr>
      <vt:lpstr>DUMMY!IS</vt:lpstr>
      <vt:lpstr>'3.1'!K</vt:lpstr>
      <vt:lpstr>'3.1'!L</vt:lpstr>
      <vt:lpstr>'4.10'!l</vt:lpstr>
      <vt:lpstr>'4.10'!l1_</vt:lpstr>
      <vt:lpstr>'4.10'!l2_</vt:lpstr>
      <vt:lpstr>'4.10'!l3_</vt:lpstr>
      <vt:lpstr>'4.13'!Masstab</vt:lpstr>
      <vt:lpstr>'3.1'!maxzeile</vt:lpstr>
      <vt:lpstr>Gesamt!maxzeile</vt:lpstr>
      <vt:lpstr>'4.1.x'!Messmet</vt:lpstr>
      <vt:lpstr>'4.1.3'!n</vt:lpstr>
      <vt:lpstr>'4.1.x'!n</vt:lpstr>
      <vt:lpstr>'4.4.x'!n</vt:lpstr>
      <vt:lpstr>'4.6'!n</vt:lpstr>
      <vt:lpstr>'3.1'!n_1</vt:lpstr>
      <vt:lpstr>'3.1'!n_2</vt:lpstr>
      <vt:lpstr>'3.1'!n_3</vt:lpstr>
      <vt:lpstr>'3.1'!n_4</vt:lpstr>
      <vt:lpstr>'3.1'!n_5</vt:lpstr>
      <vt:lpstr>'3.1'!n_6</vt:lpstr>
      <vt:lpstr>'4.4.x'!Nd</vt:lpstr>
      <vt:lpstr>'4.4.x'!Ndh</vt:lpstr>
      <vt:lpstr>'4.4.x'!Ndp</vt:lpstr>
      <vt:lpstr>'4.4.x'!Nds</vt:lpstr>
      <vt:lpstr>'4.1.3'!NK</vt:lpstr>
      <vt:lpstr>'4.1.x'!NK</vt:lpstr>
      <vt:lpstr>'4.13'!NK</vt:lpstr>
      <vt:lpstr>'4.14'!NK</vt:lpstr>
      <vt:lpstr>'4.2'!NK</vt:lpstr>
      <vt:lpstr>'4.3'!NK</vt:lpstr>
      <vt:lpstr>'4.4.2'!NK</vt:lpstr>
      <vt:lpstr>'4.4.x'!NK</vt:lpstr>
      <vt:lpstr>'4.5'!NK</vt:lpstr>
      <vt:lpstr>'4.6'!NK</vt:lpstr>
      <vt:lpstr>'5.1'!NK</vt:lpstr>
      <vt:lpstr>'6.1'!NK</vt:lpstr>
      <vt:lpstr>'6.2'!NK</vt:lpstr>
      <vt:lpstr>DUMMY!NK</vt:lpstr>
      <vt:lpstr>NK_1</vt:lpstr>
      <vt:lpstr>'3.1'!NK_2</vt:lpstr>
      <vt:lpstr>NK_3</vt:lpstr>
      <vt:lpstr>'4.10'!nplus</vt:lpstr>
      <vt:lpstr>'4.10'!ns</vt:lpstr>
      <vt:lpstr>'4.10'!ns1_</vt:lpstr>
      <vt:lpstr>'4.10'!ns2_</vt:lpstr>
      <vt:lpstr>'4.10'!ns3_</vt:lpstr>
      <vt:lpstr>'4.4.2'!P</vt:lpstr>
      <vt:lpstr>'4.1.x'!PAK</vt:lpstr>
      <vt:lpstr>'4.1.x'!PktAbst</vt:lpstr>
      <vt:lpstr>'4.1.3'!S_</vt:lpstr>
      <vt:lpstr>'4.2'!S_</vt:lpstr>
      <vt:lpstr>'4.4.2'!S_</vt:lpstr>
      <vt:lpstr>'4.6'!S_</vt:lpstr>
      <vt:lpstr>'3.1'!s_1</vt:lpstr>
      <vt:lpstr>'3.1'!s_2</vt:lpstr>
      <vt:lpstr>'3.1'!s_3</vt:lpstr>
      <vt:lpstr>s_4</vt:lpstr>
      <vt:lpstr>s_5</vt:lpstr>
      <vt:lpstr>'3.1'!s_6</vt:lpstr>
      <vt:lpstr>'3.1'!s_7</vt:lpstr>
      <vt:lpstr>'3.1'!V</vt:lpstr>
      <vt:lpstr>'4.1.3'!VSK</vt:lpstr>
      <vt:lpstr>'4.1.x'!VSK</vt:lpstr>
      <vt:lpstr>'4.10'!VSK</vt:lpstr>
      <vt:lpstr>'4.13'!VSK</vt:lpstr>
      <vt:lpstr>'4.14'!VSK</vt:lpstr>
      <vt:lpstr>'4.2'!VSK</vt:lpstr>
      <vt:lpstr>'4.3'!VSK</vt:lpstr>
      <vt:lpstr>'4.4.2'!VSK</vt:lpstr>
      <vt:lpstr>'4.4.x'!VSK</vt:lpstr>
      <vt:lpstr>'4.5'!VSK</vt:lpstr>
      <vt:lpstr>'4.6'!VSK</vt:lpstr>
      <vt:lpstr>'4.8'!VSK</vt:lpstr>
      <vt:lpstr>'5.1'!VSK</vt:lpstr>
      <vt:lpstr>'6.1'!VSK</vt:lpstr>
      <vt:lpstr>'6.2'!VSK</vt:lpstr>
      <vt:lpstr>'6.3'!VSK</vt:lpstr>
      <vt:lpstr>DUMMY!VSK</vt:lpstr>
      <vt:lpstr>'4.13'!VSK0_</vt:lpstr>
      <vt:lpstr>'4.13'!VSK1_</vt:lpstr>
      <vt:lpstr>'4.13'!VSK2_</vt:lpstr>
      <vt:lpstr>'4.13'!VSK3_</vt:lpstr>
      <vt:lpstr>'4.13'!VSK4_</vt:lpstr>
      <vt:lpstr>'4.13'!VSK5_</vt:lpstr>
      <vt:lpstr>'4.1.x'!W</vt:lpstr>
      <vt:lpstr>'4.1.3'!ZuAbschlag</vt:lpstr>
      <vt:lpstr>'4.1.x'!ZuAbschlag</vt:lpstr>
      <vt:lpstr>'4.13'!ZuAbschlag</vt:lpstr>
      <vt:lpstr>'4.14'!ZuAbschlag</vt:lpstr>
      <vt:lpstr>'4.2'!ZuAbschlag</vt:lpstr>
      <vt:lpstr>'4.3'!ZuAbschlag</vt:lpstr>
      <vt:lpstr>'4.4.2'!ZuAbschlag</vt:lpstr>
      <vt:lpstr>'4.4.x'!ZuAbschlag</vt:lpstr>
      <vt:lpstr>'4.5'!ZuAbschlag</vt:lpstr>
      <vt:lpstr>'4.6'!ZuAbschlag</vt:lpstr>
      <vt:lpstr>'5.1'!ZuAbschlag</vt:lpstr>
      <vt:lpstr>'6.1'!ZuAbschlag</vt:lpstr>
      <vt:lpstr>'6.2'!ZuAbschlag</vt:lpstr>
      <vt:lpstr>'6.3'!ZuAbschlag</vt:lpstr>
      <vt:lpstr>DUMMY!ZuAbschlag</vt:lpstr>
    </vt:vector>
  </TitlesOfParts>
  <Company>IK für Vermessungswesen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 Florian</dc:creator>
  <cp:lastModifiedBy>Helm Florian</cp:lastModifiedBy>
  <cp:lastPrinted>2014-09-08T07:42:10Z</cp:lastPrinted>
  <dcterms:created xsi:type="dcterms:W3CDTF">2011-08-04T06:11:19Z</dcterms:created>
  <dcterms:modified xsi:type="dcterms:W3CDTF">2015-01-15T17:42:30Z</dcterms:modified>
</cp:coreProperties>
</file>